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online\transumanza\"/>
    </mc:Choice>
  </mc:AlternateContent>
  <bookViews>
    <workbookView xWindow="16188" yWindow="-24" windowWidth="16236" windowHeight="17928" tabRatio="834" activeTab="5"/>
  </bookViews>
  <sheets>
    <sheet name="Copyright Notice" sheetId="26" r:id="rId1"/>
    <sheet name="Intro" sheetId="1" r:id="rId2"/>
    <sheet name="Revenues -&gt;" sheetId="5" r:id="rId3"/>
    <sheet name="Top-Down" sheetId="2" r:id="rId4"/>
    <sheet name="Bottom-Up" sheetId="3" r:id="rId5"/>
    <sheet name="Revenues" sheetId="14" r:id="rId6"/>
    <sheet name="Costs -&gt;" sheetId="13" r:id="rId7"/>
    <sheet name="COGS" sheetId="10" r:id="rId8"/>
    <sheet name="Payroll" sheetId="15" r:id="rId9"/>
    <sheet name="Other Operating Expenses" sheetId="11" r:id="rId10"/>
    <sheet name="Capital Expenditures" sheetId="12" r:id="rId11"/>
    <sheet name="Total Expenses" sheetId="4" r:id="rId12"/>
    <sheet name="Working Capital" sheetId="23" r:id="rId13"/>
    <sheet name="Financing" sheetId="17" r:id="rId14"/>
    <sheet name="Statements -&gt;" sheetId="6" r:id="rId15"/>
    <sheet name="Cash Flow" sheetId="18" r:id="rId16"/>
    <sheet name="Income Statement" sheetId="19" r:id="rId17"/>
    <sheet name="Balance Sheet" sheetId="20" r:id="rId18"/>
    <sheet name="Charts -&gt;" sheetId="21" r:id="rId19"/>
    <sheet name="DCF Valuation" sheetId="24" r:id="rId20"/>
    <sheet name="Cash flow charts" sheetId="25" r:id="rId21"/>
    <sheet name="Additional Charts" sheetId="22" r:id="rId22"/>
  </sheets>
  <definedNames>
    <definedName name="COGSMethod" localSheetId="0">COGS!$B$5:$B$6</definedName>
    <definedName name="COGSMethod">COGS!$B$5:$B$6</definedName>
    <definedName name="CompanyName" localSheetId="0">Intro!$B$19</definedName>
    <definedName name="CompanyName">Intro!$B$16</definedName>
    <definedName name="StartDate" localSheetId="0">Intro!$B$21</definedName>
    <definedName name="StartDate">Intro!$B$18</definedName>
    <definedName name="SubHeader" localSheetId="0">Intro!$B$23</definedName>
    <definedName name="SubHeader">Intro!$B$20</definedName>
  </definedNames>
  <calcPr calcId="162913"/>
</workbook>
</file>

<file path=xl/calcChain.xml><?xml version="1.0" encoding="utf-8"?>
<calcChain xmlns="http://schemas.openxmlformats.org/spreadsheetml/2006/main">
  <c r="B42" i="2" l="1"/>
  <c r="C42" i="2"/>
  <c r="B24" i="3"/>
  <c r="C24" i="3"/>
  <c r="B16" i="14"/>
  <c r="N35" i="2" l="1"/>
  <c r="N34" i="2"/>
  <c r="M35" i="2"/>
  <c r="L35" i="2"/>
  <c r="Q54" i="15" l="1"/>
  <c r="T53" i="15"/>
  <c r="U53" i="15" s="1"/>
  <c r="V53" i="15" s="1"/>
  <c r="W53" i="15" s="1"/>
  <c r="S53" i="15"/>
  <c r="B20" i="24" l="1"/>
  <c r="C20" i="24" s="1"/>
  <c r="D20" i="24" s="1"/>
  <c r="E20" i="24" s="1"/>
  <c r="F20" i="24" s="1"/>
  <c r="G20" i="24" s="1"/>
  <c r="H20" i="24" s="1"/>
  <c r="D5" i="25" l="1"/>
  <c r="E5" i="25" s="1"/>
  <c r="F5" i="25" s="1"/>
  <c r="G5" i="25" s="1"/>
  <c r="H5" i="25" s="1"/>
  <c r="A4" i="25"/>
  <c r="D3" i="25"/>
  <c r="E3" i="25" s="1"/>
  <c r="F3" i="25" s="1"/>
  <c r="G3" i="25" s="1"/>
  <c r="H3" i="25" s="1"/>
  <c r="Q26" i="18"/>
  <c r="A6" i="25" s="1"/>
  <c r="Q25" i="18"/>
  <c r="Q24" i="18"/>
  <c r="L34" i="2" l="1"/>
  <c r="M34" i="2" s="1"/>
  <c r="L33" i="2"/>
  <c r="M33" i="2" s="1"/>
  <c r="N33" i="2" s="1"/>
  <c r="G33" i="2"/>
  <c r="H33" i="2" s="1"/>
  <c r="I33" i="2" s="1"/>
  <c r="A17" i="3"/>
  <c r="A26" i="3"/>
  <c r="Q26" i="3" s="1"/>
  <c r="C26" i="3"/>
  <c r="D26" i="3"/>
  <c r="E26" i="3"/>
  <c r="F26" i="3"/>
  <c r="S26" i="3" s="1"/>
  <c r="G26" i="3"/>
  <c r="H26" i="3"/>
  <c r="I26" i="3"/>
  <c r="K26" i="3"/>
  <c r="T26" i="3" s="1"/>
  <c r="L26" i="3"/>
  <c r="U26" i="3" s="1"/>
  <c r="M26" i="3"/>
  <c r="V26" i="3"/>
  <c r="N26" i="3"/>
  <c r="W26" i="3" s="1"/>
  <c r="F9" i="3"/>
  <c r="B26" i="3" s="1"/>
  <c r="B9" i="3"/>
  <c r="N24" i="3" s="1"/>
  <c r="W24" i="3" s="1"/>
  <c r="G13" i="23"/>
  <c r="H13" i="23" s="1"/>
  <c r="I13" i="23" s="1"/>
  <c r="S10" i="18"/>
  <c r="A27" i="2"/>
  <c r="A26" i="2"/>
  <c r="A25" i="2"/>
  <c r="L26" i="2"/>
  <c r="M26" i="2" s="1"/>
  <c r="N26" i="2" s="1"/>
  <c r="G25" i="2"/>
  <c r="H25" i="2" s="1"/>
  <c r="I25" i="2" s="1"/>
  <c r="L25" i="2"/>
  <c r="M25" i="2" s="1"/>
  <c r="N25" i="2" s="1"/>
  <c r="B24" i="2"/>
  <c r="C24" i="2" s="1"/>
  <c r="D24" i="2" s="1"/>
  <c r="E24" i="2" s="1"/>
  <c r="F24" i="2" s="1"/>
  <c r="G24" i="2" s="1"/>
  <c r="H24" i="2" s="1"/>
  <c r="I24" i="2" s="1"/>
  <c r="K24" i="2" s="1"/>
  <c r="L24" i="2" s="1"/>
  <c r="M24" i="2" s="1"/>
  <c r="N24" i="2" s="1"/>
  <c r="A19" i="2"/>
  <c r="A18" i="2"/>
  <c r="A17" i="2"/>
  <c r="B16" i="2"/>
  <c r="C16" i="2" s="1"/>
  <c r="D16" i="2" s="1"/>
  <c r="E16" i="2" s="1"/>
  <c r="F16" i="2" s="1"/>
  <c r="G16" i="2" s="1"/>
  <c r="H16" i="2" s="1"/>
  <c r="I16" i="2" s="1"/>
  <c r="K16" i="2" s="1"/>
  <c r="L16" i="2" s="1"/>
  <c r="M16" i="2" s="1"/>
  <c r="N16" i="2" s="1"/>
  <c r="A2" i="24"/>
  <c r="J11" i="10"/>
  <c r="J27" i="10"/>
  <c r="F27" i="10"/>
  <c r="B27" i="10"/>
  <c r="A18" i="10" s="1"/>
  <c r="Q27" i="10" s="1"/>
  <c r="S22" i="18"/>
  <c r="Q10" i="22"/>
  <c r="Q11" i="22"/>
  <c r="Q12" i="22"/>
  <c r="Q8" i="22"/>
  <c r="Q9" i="22"/>
  <c r="C45" i="22"/>
  <c r="C49" i="22"/>
  <c r="A71" i="22"/>
  <c r="A72" i="22"/>
  <c r="A70" i="22"/>
  <c r="D72" i="22"/>
  <c r="R47" i="22"/>
  <c r="C48" i="22"/>
  <c r="G47" i="22"/>
  <c r="A45" i="22"/>
  <c r="A49" i="22" s="1"/>
  <c r="C47" i="22"/>
  <c r="A44" i="22"/>
  <c r="A48" i="22" s="1"/>
  <c r="Q1" i="18"/>
  <c r="Q36" i="18"/>
  <c r="Q34" i="18"/>
  <c r="Q32" i="18"/>
  <c r="Q31" i="18"/>
  <c r="Q30" i="18"/>
  <c r="Q29" i="18"/>
  <c r="Q28" i="18"/>
  <c r="Q23" i="18"/>
  <c r="X22" i="18"/>
  <c r="W22" i="18"/>
  <c r="V22" i="18"/>
  <c r="U22" i="18"/>
  <c r="T22" i="18"/>
  <c r="Q22" i="18"/>
  <c r="Q21" i="18"/>
  <c r="Q20" i="18"/>
  <c r="Q18" i="18"/>
  <c r="Q17" i="18"/>
  <c r="Q15" i="18"/>
  <c r="Q14" i="18"/>
  <c r="Q13" i="18"/>
  <c r="Q12" i="18"/>
  <c r="Q10" i="18"/>
  <c r="P1" i="20"/>
  <c r="P22" i="20"/>
  <c r="P21" i="20"/>
  <c r="P19" i="20"/>
  <c r="P18" i="20"/>
  <c r="P16" i="20"/>
  <c r="P13" i="20"/>
  <c r="P12" i="20"/>
  <c r="P11" i="20"/>
  <c r="P10" i="20"/>
  <c r="Q25" i="19"/>
  <c r="Q24" i="19"/>
  <c r="Q22" i="19"/>
  <c r="Q21" i="19"/>
  <c r="Q19" i="19"/>
  <c r="Q18" i="19"/>
  <c r="Q16" i="19"/>
  <c r="Q15" i="19"/>
  <c r="Q13" i="19"/>
  <c r="Q12" i="19"/>
  <c r="Q11" i="19"/>
  <c r="Q10" i="19"/>
  <c r="Q1" i="19"/>
  <c r="Q26" i="4"/>
  <c r="Q27" i="4"/>
  <c r="Q25" i="4"/>
  <c r="Q1" i="4"/>
  <c r="Q55" i="12"/>
  <c r="Q37" i="12"/>
  <c r="Q19" i="12"/>
  <c r="J11" i="15"/>
  <c r="J10" i="15"/>
  <c r="J9" i="15"/>
  <c r="J8" i="15"/>
  <c r="J7" i="15"/>
  <c r="B21" i="15"/>
  <c r="B20" i="15"/>
  <c r="B19" i="15"/>
  <c r="B18" i="15"/>
  <c r="B17" i="15"/>
  <c r="F21" i="15"/>
  <c r="F20" i="15"/>
  <c r="F19" i="15"/>
  <c r="F18" i="15"/>
  <c r="F17" i="15"/>
  <c r="J21" i="15"/>
  <c r="J20" i="15"/>
  <c r="J19" i="15"/>
  <c r="J18" i="15"/>
  <c r="J17" i="15"/>
  <c r="Z1" i="12"/>
  <c r="Q1" i="12"/>
  <c r="W26" i="11"/>
  <c r="V26" i="11"/>
  <c r="U26" i="11"/>
  <c r="T26" i="11"/>
  <c r="S26" i="11"/>
  <c r="R26" i="11"/>
  <c r="Q1" i="11"/>
  <c r="Q34" i="11"/>
  <c r="Q26" i="11"/>
  <c r="B36" i="15"/>
  <c r="A35" i="15"/>
  <c r="A48" i="15" s="1"/>
  <c r="Q32" i="15" s="1"/>
  <c r="Q58" i="15" s="1"/>
  <c r="A34" i="15"/>
  <c r="A47" i="15" s="1"/>
  <c r="Q31" i="15" s="1"/>
  <c r="Q57" i="15" s="1"/>
  <c r="A33" i="15"/>
  <c r="A46" i="15" s="1"/>
  <c r="Q30" i="15" s="1"/>
  <c r="Q56" i="15" s="1"/>
  <c r="A32" i="15"/>
  <c r="A45" i="15" s="1"/>
  <c r="Q29" i="15" s="1"/>
  <c r="Q55" i="15" s="1"/>
  <c r="F36" i="15"/>
  <c r="H36" i="15"/>
  <c r="G36" i="15"/>
  <c r="Q1" i="10"/>
  <c r="Q51" i="10"/>
  <c r="I36" i="15"/>
  <c r="Q1" i="14"/>
  <c r="Q1" i="3"/>
  <c r="L31" i="15"/>
  <c r="K36" i="15"/>
  <c r="A16" i="18"/>
  <c r="Q16" i="18" s="1"/>
  <c r="A20" i="20"/>
  <c r="P20" i="20" s="1"/>
  <c r="A15" i="20"/>
  <c r="P15" i="20" s="1"/>
  <c r="A14" i="20"/>
  <c r="P14" i="20" s="1"/>
  <c r="B25" i="23"/>
  <c r="C25" i="23" s="1"/>
  <c r="D25" i="23" s="1"/>
  <c r="E25" i="23" s="1"/>
  <c r="F25" i="23" s="1"/>
  <c r="G25" i="23" s="1"/>
  <c r="H25" i="23" s="1"/>
  <c r="I25" i="23" s="1"/>
  <c r="K25" i="23" s="1"/>
  <c r="L25" i="23" s="1"/>
  <c r="M25" i="23" s="1"/>
  <c r="N25" i="23" s="1"/>
  <c r="A2" i="23"/>
  <c r="B11" i="23"/>
  <c r="C11" i="23" s="1"/>
  <c r="D11" i="23" s="1"/>
  <c r="E11" i="23" s="1"/>
  <c r="F11" i="23" s="1"/>
  <c r="G11" i="23" s="1"/>
  <c r="H11" i="23" s="1"/>
  <c r="I11" i="23" s="1"/>
  <c r="K11" i="23" s="1"/>
  <c r="L11" i="23" s="1"/>
  <c r="M11" i="23" s="1"/>
  <c r="N11" i="23" s="1"/>
  <c r="B7" i="22"/>
  <c r="R7" i="22" s="1"/>
  <c r="B8" i="20"/>
  <c r="C8" i="20" s="1"/>
  <c r="D8" i="20" s="1"/>
  <c r="E8" i="20" s="1"/>
  <c r="F8" i="20" s="1"/>
  <c r="B8" i="19"/>
  <c r="B8" i="18"/>
  <c r="K6" i="4"/>
  <c r="B6" i="4"/>
  <c r="K54" i="17"/>
  <c r="B54" i="17"/>
  <c r="K41" i="17"/>
  <c r="B41" i="17"/>
  <c r="K26" i="17"/>
  <c r="B26" i="17"/>
  <c r="B28" i="17"/>
  <c r="B43" i="17"/>
  <c r="C43" i="17" s="1"/>
  <c r="D43" i="17" s="1"/>
  <c r="B56" i="17"/>
  <c r="C56" i="17" s="1"/>
  <c r="D56" i="17" s="1"/>
  <c r="E56" i="17" s="1"/>
  <c r="F56" i="17" s="1"/>
  <c r="G56" i="17" s="1"/>
  <c r="H56" i="17" s="1"/>
  <c r="I56" i="17" s="1"/>
  <c r="K56" i="17" s="1"/>
  <c r="L56" i="17" s="1"/>
  <c r="M56" i="17" s="1"/>
  <c r="N56" i="17" s="1"/>
  <c r="B8" i="4"/>
  <c r="R24" i="4" s="1"/>
  <c r="B58" i="12"/>
  <c r="R59" i="12" s="1"/>
  <c r="B22" i="12"/>
  <c r="B40" i="12"/>
  <c r="C40" i="12" s="1"/>
  <c r="B18" i="11"/>
  <c r="B24" i="11" s="1"/>
  <c r="B29" i="15"/>
  <c r="C29" i="15" s="1"/>
  <c r="D29" i="15" s="1"/>
  <c r="E29" i="15" s="1"/>
  <c r="F29" i="15" s="1"/>
  <c r="G29" i="15" s="1"/>
  <c r="H29" i="15" s="1"/>
  <c r="I29" i="15" s="1"/>
  <c r="K29" i="15" s="1"/>
  <c r="L29" i="15" s="1"/>
  <c r="M29" i="15" s="1"/>
  <c r="N29" i="15" s="1"/>
  <c r="B42" i="15"/>
  <c r="A26" i="10"/>
  <c r="B17" i="10"/>
  <c r="C17" i="10" s="1"/>
  <c r="D17" i="10" s="1"/>
  <c r="E17" i="10" s="1"/>
  <c r="F17" i="10" s="1"/>
  <c r="B48" i="10"/>
  <c r="G14" i="23"/>
  <c r="H14" i="23" s="1"/>
  <c r="I14" i="23" s="1"/>
  <c r="G15" i="23"/>
  <c r="H15" i="23" s="1"/>
  <c r="I15" i="23" s="1"/>
  <c r="B15" i="14"/>
  <c r="C15" i="14" s="1"/>
  <c r="D15" i="14" s="1"/>
  <c r="E15" i="14" s="1"/>
  <c r="F15" i="14" s="1"/>
  <c r="A25" i="3"/>
  <c r="A24" i="3"/>
  <c r="A16" i="14" s="1"/>
  <c r="Q27" i="14" s="1"/>
  <c r="B23" i="3"/>
  <c r="R23" i="3" s="1"/>
  <c r="A16" i="3"/>
  <c r="A15" i="3"/>
  <c r="B14" i="3"/>
  <c r="C14" i="3" s="1"/>
  <c r="D14" i="3" s="1"/>
  <c r="E14" i="3" s="1"/>
  <c r="F14" i="3" s="1"/>
  <c r="G14" i="3" s="1"/>
  <c r="H14" i="3" s="1"/>
  <c r="I14" i="3" s="1"/>
  <c r="K14" i="3" s="1"/>
  <c r="L14" i="3" s="1"/>
  <c r="M14" i="3" s="1"/>
  <c r="N14" i="3" s="1"/>
  <c r="Q1" i="2"/>
  <c r="B32" i="2"/>
  <c r="C32" i="2" s="1"/>
  <c r="D32" i="2" s="1"/>
  <c r="E32" i="2" s="1"/>
  <c r="F32" i="2" s="1"/>
  <c r="G32" i="2" s="1"/>
  <c r="H32" i="2" s="1"/>
  <c r="I32" i="2" s="1"/>
  <c r="K32" i="2" s="1"/>
  <c r="L32" i="2" s="1"/>
  <c r="M32" i="2" s="1"/>
  <c r="N32" i="2" s="1"/>
  <c r="A44" i="2"/>
  <c r="Q27" i="2"/>
  <c r="A43" i="2"/>
  <c r="Q26" i="2"/>
  <c r="A42" i="2"/>
  <c r="Q25" i="2"/>
  <c r="A35" i="2"/>
  <c r="A34" i="2"/>
  <c r="A33" i="2"/>
  <c r="B41" i="2"/>
  <c r="R24" i="2" s="1"/>
  <c r="A17" i="14"/>
  <c r="Q28" i="14" s="1"/>
  <c r="Q25" i="3"/>
  <c r="A18" i="14"/>
  <c r="Q29" i="14" s="1"/>
  <c r="Q24" i="3"/>
  <c r="A2" i="22"/>
  <c r="A2" i="20"/>
  <c r="A2" i="19"/>
  <c r="C18" i="14"/>
  <c r="C20" i="10" s="1"/>
  <c r="A2" i="18"/>
  <c r="D18" i="14"/>
  <c r="D20" i="10" s="1"/>
  <c r="L15" i="23"/>
  <c r="L14" i="23"/>
  <c r="M14" i="23" s="1"/>
  <c r="N14" i="23" s="1"/>
  <c r="L13" i="23"/>
  <c r="M13" i="23" s="1"/>
  <c r="N13" i="23" s="1"/>
  <c r="C62" i="17"/>
  <c r="C21" i="19" s="1"/>
  <c r="D62" i="17"/>
  <c r="D31" i="18" s="1"/>
  <c r="E62" i="17"/>
  <c r="E21" i="19" s="1"/>
  <c r="F62" i="17"/>
  <c r="G62" i="17"/>
  <c r="G31" i="18" s="1"/>
  <c r="H62" i="17"/>
  <c r="H21" i="19" s="1"/>
  <c r="I62" i="17"/>
  <c r="I21" i="19" s="1"/>
  <c r="K62" i="17"/>
  <c r="L62" i="17"/>
  <c r="L31" i="18" s="1"/>
  <c r="M62" i="17"/>
  <c r="M21" i="19" s="1"/>
  <c r="V21" i="19" s="1"/>
  <c r="N62" i="17"/>
  <c r="N21" i="19" s="1"/>
  <c r="W21" i="19" s="1"/>
  <c r="B62" i="17"/>
  <c r="A58" i="17"/>
  <c r="A59" i="17"/>
  <c r="A60" i="17"/>
  <c r="A61" i="17"/>
  <c r="A57" i="17"/>
  <c r="A44" i="17"/>
  <c r="A48" i="17"/>
  <c r="A47" i="17"/>
  <c r="A46" i="17"/>
  <c r="A45" i="17"/>
  <c r="A2" i="17"/>
  <c r="A36" i="17"/>
  <c r="A35" i="17"/>
  <c r="A34" i="17"/>
  <c r="A33" i="17"/>
  <c r="A32" i="17"/>
  <c r="A31" i="17"/>
  <c r="A30" i="17"/>
  <c r="A29" i="17"/>
  <c r="A2" i="4"/>
  <c r="E18" i="14"/>
  <c r="E20" i="10" s="1"/>
  <c r="M31" i="18"/>
  <c r="N31" i="18"/>
  <c r="L21" i="19"/>
  <c r="U21" i="19"/>
  <c r="M15" i="23"/>
  <c r="N15" i="23" s="1"/>
  <c r="K21" i="19"/>
  <c r="T21" i="19" s="1"/>
  <c r="K31" i="18"/>
  <c r="G21" i="19"/>
  <c r="S21" i="19" s="1"/>
  <c r="F31" i="18"/>
  <c r="F21" i="19"/>
  <c r="E31" i="18"/>
  <c r="D21" i="19"/>
  <c r="C31" i="18"/>
  <c r="B31" i="18"/>
  <c r="B21" i="19"/>
  <c r="R21" i="19" s="1"/>
  <c r="G18" i="14"/>
  <c r="G20" i="10" s="1"/>
  <c r="F18" i="14"/>
  <c r="F20" i="10" s="1"/>
  <c r="H18" i="14"/>
  <c r="H20" i="10" s="1"/>
  <c r="I18" i="14"/>
  <c r="I20" i="10" s="1"/>
  <c r="L18" i="14"/>
  <c r="U29" i="14" s="1"/>
  <c r="M18" i="14"/>
  <c r="M20" i="10" s="1"/>
  <c r="V29" i="10" s="1"/>
  <c r="A42" i="12"/>
  <c r="A43" i="12"/>
  <c r="A44" i="12"/>
  <c r="A45" i="12"/>
  <c r="A27" i="12" s="1"/>
  <c r="A46" i="12"/>
  <c r="A28" i="12" s="1"/>
  <c r="Q29" i="12" s="1"/>
  <c r="A47" i="12"/>
  <c r="A48" i="12"/>
  <c r="A49" i="12"/>
  <c r="A50" i="12"/>
  <c r="A51" i="12"/>
  <c r="A33" i="12" s="1"/>
  <c r="A69" i="12" s="1"/>
  <c r="A41" i="12"/>
  <c r="A23" i="12" s="1"/>
  <c r="A59" i="12" s="1"/>
  <c r="Q60" i="12" s="1"/>
  <c r="A2" i="12"/>
  <c r="A2" i="11"/>
  <c r="A20" i="11"/>
  <c r="Q27" i="11"/>
  <c r="F11" i="15"/>
  <c r="F10" i="15"/>
  <c r="F9" i="15"/>
  <c r="F8" i="15"/>
  <c r="F7" i="15"/>
  <c r="B10" i="15"/>
  <c r="B8" i="15"/>
  <c r="B7" i="15"/>
  <c r="J38" i="10"/>
  <c r="A4" i="15"/>
  <c r="A31" i="12"/>
  <c r="Q32" i="12" s="1"/>
  <c r="Q50" i="12"/>
  <c r="A26" i="12"/>
  <c r="A62" i="12" s="1"/>
  <c r="Q63" i="12" s="1"/>
  <c r="Q45" i="12"/>
  <c r="A30" i="12"/>
  <c r="A66" i="12" s="1"/>
  <c r="Q67" i="12" s="1"/>
  <c r="Q49" i="12"/>
  <c r="A29" i="12"/>
  <c r="A65" i="12" s="1"/>
  <c r="Q48" i="12"/>
  <c r="A25" i="12"/>
  <c r="A61" i="12" s="1"/>
  <c r="Q62" i="12" s="1"/>
  <c r="Q44" i="12"/>
  <c r="Q66" i="12"/>
  <c r="Q30" i="12"/>
  <c r="Q27" i="12"/>
  <c r="A67" i="12"/>
  <c r="Q68" i="12" s="1"/>
  <c r="Q31" i="12"/>
  <c r="Q1" i="15"/>
  <c r="A2" i="15"/>
  <c r="A31" i="15"/>
  <c r="A44" i="15" s="1"/>
  <c r="Q27" i="15" s="1"/>
  <c r="A30" i="15"/>
  <c r="A43" i="15" s="1"/>
  <c r="Q26" i="15" s="1"/>
  <c r="A2" i="14"/>
  <c r="A2" i="10"/>
  <c r="A2" i="2"/>
  <c r="A2" i="3"/>
  <c r="A21" i="11"/>
  <c r="Q28" i="11"/>
  <c r="A22" i="11"/>
  <c r="Q29" i="11" s="1"/>
  <c r="A23" i="11"/>
  <c r="Q30" i="11" s="1"/>
  <c r="A24" i="11"/>
  <c r="Q31" i="11" s="1"/>
  <c r="A25" i="11"/>
  <c r="Q32" i="11" s="1"/>
  <c r="A26" i="11"/>
  <c r="Q33" i="11" s="1"/>
  <c r="A20" i="10"/>
  <c r="Q29" i="10" s="1"/>
  <c r="F38" i="10"/>
  <c r="B38" i="10"/>
  <c r="A51" i="10"/>
  <c r="Q78" i="10" s="1"/>
  <c r="C18" i="11" l="1"/>
  <c r="B25" i="11"/>
  <c r="C7" i="22"/>
  <c r="D7" i="22" s="1"/>
  <c r="E7" i="22" s="1"/>
  <c r="F7" i="22" s="1"/>
  <c r="G7" i="22" s="1"/>
  <c r="H7" i="22" s="1"/>
  <c r="I7" i="22" s="1"/>
  <c r="K7" i="22" s="1"/>
  <c r="A49" i="10"/>
  <c r="Q76" i="10" s="1"/>
  <c r="I25" i="3"/>
  <c r="I17" i="14" s="1"/>
  <c r="I19" i="10" s="1"/>
  <c r="C25" i="3"/>
  <c r="C17" i="14" s="1"/>
  <c r="C19" i="10" s="1"/>
  <c r="L25" i="3"/>
  <c r="U25" i="3" s="1"/>
  <c r="E25" i="3"/>
  <c r="E17" i="14" s="1"/>
  <c r="E19" i="10" s="1"/>
  <c r="D25" i="3"/>
  <c r="D17" i="14" s="1"/>
  <c r="D19" i="10" s="1"/>
  <c r="G25" i="3"/>
  <c r="G17" i="14" s="1"/>
  <c r="G19" i="10" s="1"/>
  <c r="H25" i="3"/>
  <c r="H17" i="14" s="1"/>
  <c r="H19" i="10" s="1"/>
  <c r="N16" i="14"/>
  <c r="W27" i="14" s="1"/>
  <c r="L24" i="3"/>
  <c r="H24" i="3"/>
  <c r="C25" i="11"/>
  <c r="B20" i="11"/>
  <c r="B23" i="11"/>
  <c r="B26" i="11"/>
  <c r="C47" i="17"/>
  <c r="V29" i="14"/>
  <c r="C48" i="17"/>
  <c r="B44" i="17"/>
  <c r="C45" i="17"/>
  <c r="B48" i="17"/>
  <c r="B46" i="17"/>
  <c r="R26" i="14"/>
  <c r="B45" i="17"/>
  <c r="C46" i="17"/>
  <c r="B47" i="17"/>
  <c r="A19" i="10"/>
  <c r="Q28" i="10" s="1"/>
  <c r="A50" i="10"/>
  <c r="Q77" i="10" s="1"/>
  <c r="A64" i="12"/>
  <c r="Q65" i="12" s="1"/>
  <c r="Q42" i="12"/>
  <c r="K18" i="14"/>
  <c r="T29" i="14" s="1"/>
  <c r="H31" i="18"/>
  <c r="C42" i="15"/>
  <c r="D42" i="15" s="1"/>
  <c r="E42" i="15" s="1"/>
  <c r="F42" i="15" s="1"/>
  <c r="G42" i="15" s="1"/>
  <c r="H42" i="15" s="1"/>
  <c r="I42" i="15" s="1"/>
  <c r="K42" i="15" s="1"/>
  <c r="T25" i="15" s="1"/>
  <c r="U25" i="15" s="1"/>
  <c r="V25" i="15" s="1"/>
  <c r="W25" i="15" s="1"/>
  <c r="R25" i="15"/>
  <c r="Q24" i="12"/>
  <c r="Q26" i="12"/>
  <c r="Q47" i="12"/>
  <c r="N18" i="14"/>
  <c r="B22" i="11"/>
  <c r="B51" i="10"/>
  <c r="E24" i="3"/>
  <c r="G24" i="3"/>
  <c r="M25" i="3"/>
  <c r="B25" i="3"/>
  <c r="B17" i="14" s="1"/>
  <c r="B19" i="10" s="1"/>
  <c r="K25" i="3"/>
  <c r="S29" i="10"/>
  <c r="M24" i="3"/>
  <c r="K24" i="3"/>
  <c r="B18" i="10"/>
  <c r="J12" i="15"/>
  <c r="H45" i="15" s="1"/>
  <c r="C36" i="15"/>
  <c r="C24" i="11"/>
  <c r="R25" i="11"/>
  <c r="B47" i="12"/>
  <c r="B65" i="12" s="1"/>
  <c r="B29" i="12" s="1"/>
  <c r="B46" i="12"/>
  <c r="B64" i="12" s="1"/>
  <c r="B28" i="12" s="1"/>
  <c r="B21" i="11"/>
  <c r="B48" i="12"/>
  <c r="B66" i="12" s="1"/>
  <c r="B30" i="12" s="1"/>
  <c r="B19" i="2"/>
  <c r="B44" i="2" s="1"/>
  <c r="C21" i="11"/>
  <c r="C8" i="4"/>
  <c r="D8" i="4" s="1"/>
  <c r="E8" i="4" s="1"/>
  <c r="F8" i="4" s="1"/>
  <c r="G8" i="4" s="1"/>
  <c r="H8" i="4" s="1"/>
  <c r="I8" i="4" s="1"/>
  <c r="K8" i="4" s="1"/>
  <c r="B45" i="12"/>
  <c r="B63" i="12" s="1"/>
  <c r="B27" i="12" s="1"/>
  <c r="C22" i="11"/>
  <c r="R41" i="12"/>
  <c r="B44" i="12"/>
  <c r="B62" i="12" s="1"/>
  <c r="B26" i="12" s="1"/>
  <c r="B17" i="2"/>
  <c r="C20" i="11"/>
  <c r="G8" i="20"/>
  <c r="H8" i="20" s="1"/>
  <c r="I8" i="20" s="1"/>
  <c r="K8" i="20" s="1"/>
  <c r="R8" i="20"/>
  <c r="B43" i="12"/>
  <c r="B61" i="12" s="1"/>
  <c r="B25" i="12" s="1"/>
  <c r="R75" i="10"/>
  <c r="C58" i="12"/>
  <c r="D58" i="12" s="1"/>
  <c r="E58" i="12" s="1"/>
  <c r="F58" i="12" s="1"/>
  <c r="G58" i="12" s="1"/>
  <c r="H58" i="12" s="1"/>
  <c r="I58" i="12" s="1"/>
  <c r="K58" i="12" s="1"/>
  <c r="L58" i="12" s="1"/>
  <c r="C48" i="10"/>
  <c r="C50" i="10" s="1"/>
  <c r="B18" i="2"/>
  <c r="B43" i="2" s="1"/>
  <c r="B49" i="12"/>
  <c r="B67" i="12" s="1"/>
  <c r="B31" i="12" s="1"/>
  <c r="C8" i="18"/>
  <c r="E43" i="22" s="1"/>
  <c r="D47" i="22" s="1"/>
  <c r="S8" i="18"/>
  <c r="B11" i="24" s="1"/>
  <c r="B42" i="12"/>
  <c r="B60" i="12" s="1"/>
  <c r="B24" i="12" s="1"/>
  <c r="B50" i="12"/>
  <c r="B68" i="12" s="1"/>
  <c r="B32" i="12" s="1"/>
  <c r="C41" i="2"/>
  <c r="C18" i="2" s="1"/>
  <c r="C43" i="2" s="1"/>
  <c r="C26" i="11"/>
  <c r="Q8" i="20"/>
  <c r="B51" i="12"/>
  <c r="B69" i="12" s="1"/>
  <c r="B33" i="12" s="1"/>
  <c r="D71" i="22"/>
  <c r="V31" i="18"/>
  <c r="X31" i="18"/>
  <c r="U31" i="18"/>
  <c r="W31" i="18"/>
  <c r="S31" i="18"/>
  <c r="E71" i="22"/>
  <c r="F12" i="15"/>
  <c r="B44" i="15" s="1"/>
  <c r="F22" i="15"/>
  <c r="I47" i="15" s="1"/>
  <c r="B12" i="15"/>
  <c r="N43" i="15" s="1"/>
  <c r="W26" i="15" s="1"/>
  <c r="J22" i="15"/>
  <c r="E48" i="15" s="1"/>
  <c r="F45" i="15"/>
  <c r="B22" i="15"/>
  <c r="K46" i="15" s="1"/>
  <c r="T30" i="15" s="1"/>
  <c r="T56" i="15" s="1"/>
  <c r="B50" i="10"/>
  <c r="Q28" i="12"/>
  <c r="A63" i="12"/>
  <c r="Q64" i="12" s="1"/>
  <c r="B49" i="10"/>
  <c r="I44" i="15"/>
  <c r="A32" i="12"/>
  <c r="Q51" i="12"/>
  <c r="A24" i="12"/>
  <c r="Q43" i="12"/>
  <c r="S29" i="14"/>
  <c r="S7" i="22"/>
  <c r="C45" i="15"/>
  <c r="Q46" i="12"/>
  <c r="L20" i="10"/>
  <c r="U29" i="10" s="1"/>
  <c r="G15" i="14"/>
  <c r="H15" i="14" s="1"/>
  <c r="I15" i="14" s="1"/>
  <c r="K15" i="14" s="1"/>
  <c r="S26" i="14"/>
  <c r="I31" i="18"/>
  <c r="T31" i="18" s="1"/>
  <c r="C23" i="3"/>
  <c r="D23" i="3" s="1"/>
  <c r="E23" i="3" s="1"/>
  <c r="F23" i="3" s="1"/>
  <c r="D40" i="12"/>
  <c r="B41" i="12"/>
  <c r="M31" i="15"/>
  <c r="L36" i="15"/>
  <c r="B18" i="14"/>
  <c r="R26" i="3"/>
  <c r="E43" i="17"/>
  <c r="C44" i="17"/>
  <c r="G17" i="10"/>
  <c r="H17" i="10" s="1"/>
  <c r="I17" i="10" s="1"/>
  <c r="K17" i="10" s="1"/>
  <c r="S26" i="10"/>
  <c r="C47" i="15"/>
  <c r="L46" i="15"/>
  <c r="U30" i="15" s="1"/>
  <c r="U56" i="15" s="1"/>
  <c r="H46" i="15"/>
  <c r="C22" i="12"/>
  <c r="D22" i="12" s="1"/>
  <c r="E22" i="12" s="1"/>
  <c r="F22" i="12" s="1"/>
  <c r="R23" i="12"/>
  <c r="D36" i="15"/>
  <c r="E36" i="15"/>
  <c r="C8" i="19"/>
  <c r="D8" i="19" s="1"/>
  <c r="E8" i="19" s="1"/>
  <c r="F8" i="19" s="1"/>
  <c r="R8" i="19"/>
  <c r="R26" i="10"/>
  <c r="C28" i="17"/>
  <c r="B29" i="17" s="1"/>
  <c r="I24" i="3"/>
  <c r="D24" i="3"/>
  <c r="N25" i="3"/>
  <c r="F25" i="3"/>
  <c r="F24" i="3"/>
  <c r="D18" i="11" l="1"/>
  <c r="C23" i="11"/>
  <c r="C49" i="17"/>
  <c r="C30" i="18" s="1"/>
  <c r="D45" i="15"/>
  <c r="R29" i="15" s="1"/>
  <c r="R55" i="15" s="1"/>
  <c r="L45" i="15"/>
  <c r="U29" i="15" s="1"/>
  <c r="U55" i="15" s="1"/>
  <c r="N45" i="15"/>
  <c r="W29" i="15" s="1"/>
  <c r="W55" i="15" s="1"/>
  <c r="M45" i="15"/>
  <c r="V29" i="15" s="1"/>
  <c r="V55" i="15" s="1"/>
  <c r="K45" i="15"/>
  <c r="T29" i="15" s="1"/>
  <c r="T55" i="15" s="1"/>
  <c r="I45" i="15"/>
  <c r="E45" i="15"/>
  <c r="B45" i="15"/>
  <c r="G45" i="15"/>
  <c r="H47" i="15"/>
  <c r="B47" i="15"/>
  <c r="L47" i="15"/>
  <c r="U31" i="15" s="1"/>
  <c r="U57" i="15" s="1"/>
  <c r="F47" i="15"/>
  <c r="N46" i="15"/>
  <c r="W30" i="15" s="1"/>
  <c r="W56" i="15" s="1"/>
  <c r="R25" i="3"/>
  <c r="L27" i="3"/>
  <c r="L17" i="14"/>
  <c r="L19" i="10" s="1"/>
  <c r="U28" i="10" s="1"/>
  <c r="H27" i="3"/>
  <c r="N18" i="10"/>
  <c r="B27" i="3"/>
  <c r="H16" i="14"/>
  <c r="H18" i="10" s="1"/>
  <c r="H21" i="10" s="1"/>
  <c r="L16" i="14"/>
  <c r="U24" i="3"/>
  <c r="U27" i="3" s="1"/>
  <c r="R28" i="14"/>
  <c r="B49" i="17"/>
  <c r="B19" i="20" s="1"/>
  <c r="K20" i="10"/>
  <c r="T29" i="10" s="1"/>
  <c r="B45" i="2"/>
  <c r="V25" i="3"/>
  <c r="M17" i="14"/>
  <c r="B27" i="11"/>
  <c r="C27" i="3"/>
  <c r="C16" i="14"/>
  <c r="G16" i="14"/>
  <c r="G27" i="3"/>
  <c r="S25" i="15"/>
  <c r="L42" i="15"/>
  <c r="M42" i="15" s="1"/>
  <c r="N42" i="15" s="1"/>
  <c r="V24" i="3"/>
  <c r="M16" i="14"/>
  <c r="M27" i="3"/>
  <c r="T25" i="3"/>
  <c r="K17" i="14"/>
  <c r="E27" i="3"/>
  <c r="E16" i="14"/>
  <c r="N20" i="10"/>
  <c r="W29" i="10" s="1"/>
  <c r="W29" i="14"/>
  <c r="K27" i="3"/>
  <c r="T24" i="3"/>
  <c r="K16" i="14"/>
  <c r="G43" i="15"/>
  <c r="C19" i="2"/>
  <c r="C44" i="2" s="1"/>
  <c r="C17" i="2"/>
  <c r="D41" i="2"/>
  <c r="D18" i="2" s="1"/>
  <c r="D43" i="2" s="1"/>
  <c r="C27" i="11"/>
  <c r="C49" i="10"/>
  <c r="S24" i="4"/>
  <c r="T59" i="12"/>
  <c r="L8" i="4"/>
  <c r="T24" i="4"/>
  <c r="D8" i="18"/>
  <c r="F43" i="22" s="1"/>
  <c r="E47" i="22" s="1"/>
  <c r="S59" i="12"/>
  <c r="D48" i="10"/>
  <c r="C51" i="10"/>
  <c r="S8" i="20"/>
  <c r="L8" i="20"/>
  <c r="G46" i="15"/>
  <c r="B46" i="15"/>
  <c r="F46" i="15"/>
  <c r="M46" i="15"/>
  <c r="V30" i="15" s="1"/>
  <c r="V56" i="15" s="1"/>
  <c r="H48" i="15"/>
  <c r="H44" i="15"/>
  <c r="D44" i="15"/>
  <c r="I46" i="15"/>
  <c r="C44" i="15"/>
  <c r="D46" i="15"/>
  <c r="K44" i="15"/>
  <c r="T27" i="15" s="1"/>
  <c r="T28" i="15" s="1"/>
  <c r="T54" i="15" s="1"/>
  <c r="E46" i="15"/>
  <c r="L43" i="15"/>
  <c r="U26" i="15" s="1"/>
  <c r="K47" i="15"/>
  <c r="T31" i="15" s="1"/>
  <c r="T57" i="15" s="1"/>
  <c r="E47" i="15"/>
  <c r="B43" i="15"/>
  <c r="F48" i="15"/>
  <c r="N47" i="15"/>
  <c r="W31" i="15" s="1"/>
  <c r="W57" i="15" s="1"/>
  <c r="M47" i="15"/>
  <c r="V31" i="15" s="1"/>
  <c r="V57" i="15" s="1"/>
  <c r="H43" i="15"/>
  <c r="I43" i="15"/>
  <c r="M48" i="15"/>
  <c r="V32" i="15" s="1"/>
  <c r="V58" i="15" s="1"/>
  <c r="D47" i="15"/>
  <c r="R31" i="15" s="1"/>
  <c r="R57" i="15" s="1"/>
  <c r="K43" i="15"/>
  <c r="T26" i="15" s="1"/>
  <c r="D43" i="15"/>
  <c r="G44" i="15"/>
  <c r="C46" i="15"/>
  <c r="G48" i="15"/>
  <c r="G47" i="15"/>
  <c r="L44" i="15"/>
  <c r="U27" i="15" s="1"/>
  <c r="U28" i="15" s="1"/>
  <c r="U54" i="15" s="1"/>
  <c r="M43" i="15"/>
  <c r="V26" i="15" s="1"/>
  <c r="F44" i="15"/>
  <c r="C43" i="15"/>
  <c r="K48" i="15"/>
  <c r="T32" i="15" s="1"/>
  <c r="T58" i="15" s="1"/>
  <c r="E44" i="15"/>
  <c r="F43" i="15"/>
  <c r="L48" i="15"/>
  <c r="U32" i="15" s="1"/>
  <c r="U58" i="15" s="1"/>
  <c r="B48" i="15"/>
  <c r="C48" i="15"/>
  <c r="N48" i="15"/>
  <c r="W32" i="15" s="1"/>
  <c r="W58" i="15" s="1"/>
  <c r="I48" i="15"/>
  <c r="D48" i="15"/>
  <c r="E40" i="12"/>
  <c r="D49" i="12" s="1"/>
  <c r="C42" i="12"/>
  <c r="C46" i="12"/>
  <c r="C50" i="12"/>
  <c r="D47" i="12"/>
  <c r="C43" i="12"/>
  <c r="C47" i="12"/>
  <c r="C51" i="12"/>
  <c r="C69" i="12" s="1"/>
  <c r="D48" i="12"/>
  <c r="C41" i="12"/>
  <c r="C49" i="12"/>
  <c r="C44" i="12"/>
  <c r="C45" i="12"/>
  <c r="C48" i="12"/>
  <c r="A60" i="12"/>
  <c r="Q61" i="12" s="1"/>
  <c r="Q25" i="12"/>
  <c r="L17" i="10"/>
  <c r="M17" i="10" s="1"/>
  <c r="N17" i="10" s="1"/>
  <c r="T26" i="10"/>
  <c r="U26" i="10" s="1"/>
  <c r="V26" i="10" s="1"/>
  <c r="W26" i="10" s="1"/>
  <c r="F43" i="17"/>
  <c r="E46" i="17" s="1"/>
  <c r="D46" i="17"/>
  <c r="D44" i="17"/>
  <c r="D48" i="17"/>
  <c r="D45" i="17"/>
  <c r="B20" i="10"/>
  <c r="R29" i="10" s="1"/>
  <c r="R29" i="14"/>
  <c r="L7" i="22"/>
  <c r="T7" i="22"/>
  <c r="B52" i="10"/>
  <c r="B19" i="23" s="1"/>
  <c r="R28" i="10"/>
  <c r="S24" i="3"/>
  <c r="F27" i="3"/>
  <c r="F16" i="14"/>
  <c r="I27" i="3"/>
  <c r="I16" i="14"/>
  <c r="S23" i="12"/>
  <c r="G22" i="12"/>
  <c r="H22" i="12" s="1"/>
  <c r="I22" i="12" s="1"/>
  <c r="K22" i="12" s="1"/>
  <c r="D17" i="2"/>
  <c r="D42" i="2" s="1"/>
  <c r="M36" i="15"/>
  <c r="N31" i="15"/>
  <c r="G23" i="3"/>
  <c r="H23" i="3" s="1"/>
  <c r="I23" i="3" s="1"/>
  <c r="K23" i="3" s="1"/>
  <c r="S23" i="3"/>
  <c r="L15" i="14"/>
  <c r="M15" i="14" s="1"/>
  <c r="N15" i="14" s="1"/>
  <c r="T26" i="14"/>
  <c r="U26" i="14" s="1"/>
  <c r="V26" i="14" s="1"/>
  <c r="W26" i="14" s="1"/>
  <c r="Q33" i="12"/>
  <c r="A68" i="12"/>
  <c r="Q69" i="12" s="1"/>
  <c r="M44" i="15"/>
  <c r="V27" i="15" s="1"/>
  <c r="V28" i="15" s="1"/>
  <c r="W27" i="10"/>
  <c r="B19" i="14"/>
  <c r="U59" i="12"/>
  <c r="M58" i="12"/>
  <c r="W25" i="3"/>
  <c r="W27" i="3" s="1"/>
  <c r="N27" i="3"/>
  <c r="N17" i="14"/>
  <c r="D27" i="3"/>
  <c r="D16" i="14"/>
  <c r="F71" i="22"/>
  <c r="S25" i="3"/>
  <c r="F17" i="14"/>
  <c r="D28" i="17"/>
  <c r="C30" i="17" s="1"/>
  <c r="B35" i="17"/>
  <c r="B36" i="17"/>
  <c r="B31" i="17"/>
  <c r="C34" i="17"/>
  <c r="B33" i="17"/>
  <c r="C36" i="17"/>
  <c r="C31" i="17"/>
  <c r="B32" i="17"/>
  <c r="C35" i="17"/>
  <c r="C33" i="17"/>
  <c r="B34" i="17"/>
  <c r="C32" i="17"/>
  <c r="C29" i="17"/>
  <c r="S8" i="19"/>
  <c r="G8" i="19"/>
  <c r="H8" i="19" s="1"/>
  <c r="I8" i="19" s="1"/>
  <c r="K8" i="19" s="1"/>
  <c r="B30" i="17"/>
  <c r="D47" i="17"/>
  <c r="R24" i="3"/>
  <c r="R27" i="3" s="1"/>
  <c r="B59" i="12"/>
  <c r="B52" i="12"/>
  <c r="B21" i="18" s="1"/>
  <c r="E43" i="15"/>
  <c r="D19" i="2" l="1"/>
  <c r="D44" i="2" s="1"/>
  <c r="C19" i="20"/>
  <c r="E41" i="2"/>
  <c r="F41" i="2" s="1"/>
  <c r="B30" i="18"/>
  <c r="D46" i="12"/>
  <c r="D44" i="12"/>
  <c r="E18" i="11"/>
  <c r="D20" i="11"/>
  <c r="D25" i="11"/>
  <c r="D23" i="11"/>
  <c r="D21" i="11"/>
  <c r="D26" i="11"/>
  <c r="D22" i="11"/>
  <c r="D24" i="11"/>
  <c r="S29" i="15"/>
  <c r="S55" i="15" s="1"/>
  <c r="E8" i="18"/>
  <c r="G43" i="22" s="1"/>
  <c r="F47" i="22" s="1"/>
  <c r="S31" i="15"/>
  <c r="S57" i="15" s="1"/>
  <c r="S30" i="15"/>
  <c r="S56" i="15" s="1"/>
  <c r="V27" i="3"/>
  <c r="H19" i="14"/>
  <c r="H13" i="18" s="1"/>
  <c r="U28" i="14"/>
  <c r="T27" i="3"/>
  <c r="L18" i="10"/>
  <c r="U27" i="14"/>
  <c r="L19" i="14"/>
  <c r="E18" i="10"/>
  <c r="E21" i="10" s="1"/>
  <c r="E19" i="14"/>
  <c r="V33" i="15"/>
  <c r="V54" i="15"/>
  <c r="M18" i="10"/>
  <c r="V27" i="14"/>
  <c r="M19" i="14"/>
  <c r="T28" i="14"/>
  <c r="K19" i="10"/>
  <c r="T28" i="10" s="1"/>
  <c r="G18" i="10"/>
  <c r="G21" i="10" s="1"/>
  <c r="G19" i="14"/>
  <c r="M19" i="10"/>
  <c r="V28" i="10" s="1"/>
  <c r="V28" i="14"/>
  <c r="C45" i="2"/>
  <c r="T27" i="14"/>
  <c r="K19" i="14"/>
  <c r="K18" i="10"/>
  <c r="C18" i="10"/>
  <c r="C21" i="10" s="1"/>
  <c r="C19" i="14"/>
  <c r="B49" i="15"/>
  <c r="B10" i="4" s="1"/>
  <c r="B15" i="19" s="1"/>
  <c r="T33" i="15"/>
  <c r="U33" i="15"/>
  <c r="H49" i="15"/>
  <c r="D50" i="12"/>
  <c r="D51" i="12"/>
  <c r="D69" i="12" s="1"/>
  <c r="E47" i="17"/>
  <c r="D43" i="12"/>
  <c r="D45" i="12"/>
  <c r="D42" i="12"/>
  <c r="E48" i="17"/>
  <c r="T8" i="20"/>
  <c r="M8" i="20"/>
  <c r="D49" i="17"/>
  <c r="D19" i="20" s="1"/>
  <c r="D41" i="12"/>
  <c r="U24" i="4"/>
  <c r="M8" i="4"/>
  <c r="E48" i="10"/>
  <c r="D51" i="10"/>
  <c r="D49" i="10"/>
  <c r="D50" i="10"/>
  <c r="E44" i="17"/>
  <c r="C37" i="17"/>
  <c r="C29" i="18" s="1"/>
  <c r="C32" i="18" s="1"/>
  <c r="C52" i="10"/>
  <c r="C19" i="23" s="1"/>
  <c r="L49" i="15"/>
  <c r="S26" i="15"/>
  <c r="D49" i="15"/>
  <c r="R30" i="15"/>
  <c r="R56" i="15" s="1"/>
  <c r="I49" i="15"/>
  <c r="G49" i="15"/>
  <c r="C49" i="15"/>
  <c r="C10" i="4" s="1"/>
  <c r="C15" i="19" s="1"/>
  <c r="S27" i="15"/>
  <c r="S28" i="15" s="1"/>
  <c r="S54" i="15" s="1"/>
  <c r="M49" i="15"/>
  <c r="F49" i="15"/>
  <c r="E49" i="15"/>
  <c r="K49" i="15"/>
  <c r="S32" i="15"/>
  <c r="S58" i="15" s="1"/>
  <c r="R32" i="15"/>
  <c r="R58" i="15" s="1"/>
  <c r="C60" i="12"/>
  <c r="E19" i="2"/>
  <c r="E44" i="2" s="1"/>
  <c r="R27" i="2" s="1"/>
  <c r="E18" i="2"/>
  <c r="E43" i="2" s="1"/>
  <c r="R26" i="2" s="1"/>
  <c r="B23" i="12"/>
  <c r="C59" i="12"/>
  <c r="B70" i="12"/>
  <c r="B12" i="20" s="1"/>
  <c r="T23" i="3"/>
  <c r="U23" i="3" s="1"/>
  <c r="V23" i="3" s="1"/>
  <c r="W23" i="3" s="1"/>
  <c r="L23" i="3"/>
  <c r="M23" i="3" s="1"/>
  <c r="N23" i="3" s="1"/>
  <c r="R26" i="15"/>
  <c r="R28" i="15" s="1"/>
  <c r="R54" i="15" s="1"/>
  <c r="G43" i="17"/>
  <c r="F48" i="17" s="1"/>
  <c r="C67" i="12"/>
  <c r="C33" i="12"/>
  <c r="F40" i="12"/>
  <c r="E44" i="12" s="1"/>
  <c r="R45" i="12" s="1"/>
  <c r="W28" i="14"/>
  <c r="W30" i="14" s="1"/>
  <c r="N19" i="10"/>
  <c r="N19" i="14"/>
  <c r="L22" i="12"/>
  <c r="T23" i="12"/>
  <c r="C66" i="12"/>
  <c r="B37" i="17"/>
  <c r="B29" i="18" s="1"/>
  <c r="L8" i="19"/>
  <c r="T8" i="19"/>
  <c r="E28" i="17"/>
  <c r="D30" i="17" s="1"/>
  <c r="D36" i="17"/>
  <c r="D32" i="17"/>
  <c r="D31" i="17"/>
  <c r="D29" i="17"/>
  <c r="D34" i="17"/>
  <c r="D35" i="17"/>
  <c r="D33" i="17"/>
  <c r="B13" i="18"/>
  <c r="B18" i="23"/>
  <c r="B27" i="23" s="1"/>
  <c r="B10" i="19"/>
  <c r="N36" i="15"/>
  <c r="N44" i="15"/>
  <c r="D45" i="2"/>
  <c r="I18" i="10"/>
  <c r="I21" i="10" s="1"/>
  <c r="I19" i="14"/>
  <c r="S27" i="3"/>
  <c r="C63" i="12"/>
  <c r="C62" i="12"/>
  <c r="C52" i="12"/>
  <c r="C21" i="18" s="1"/>
  <c r="C23" i="18" s="1"/>
  <c r="C65" i="12"/>
  <c r="C68" i="12"/>
  <c r="D19" i="14"/>
  <c r="D18" i="10"/>
  <c r="R27" i="14"/>
  <c r="R30" i="14" s="1"/>
  <c r="S27" i="14"/>
  <c r="F19" i="14"/>
  <c r="F18" i="10"/>
  <c r="G71" i="22"/>
  <c r="B23" i="18"/>
  <c r="S28" i="14"/>
  <c r="F19" i="10"/>
  <c r="S28" i="10" s="1"/>
  <c r="N58" i="12"/>
  <c r="W59" i="12" s="1"/>
  <c r="V59" i="12"/>
  <c r="B32" i="23"/>
  <c r="B28" i="23"/>
  <c r="B9" i="4"/>
  <c r="B21" i="10"/>
  <c r="U7" i="22"/>
  <c r="M7" i="22"/>
  <c r="E45" i="17"/>
  <c r="C61" i="12"/>
  <c r="C64" i="12"/>
  <c r="E17" i="2" l="1"/>
  <c r="E42" i="2" s="1"/>
  <c r="E22" i="11"/>
  <c r="E21" i="11"/>
  <c r="R28" i="11" s="1"/>
  <c r="F18" i="11"/>
  <c r="E23" i="11"/>
  <c r="R30" i="11" s="1"/>
  <c r="E26" i="11"/>
  <c r="R33" i="11" s="1"/>
  <c r="E24" i="11"/>
  <c r="R31" i="11" s="1"/>
  <c r="E20" i="11"/>
  <c r="E25" i="11"/>
  <c r="R32" i="11" s="1"/>
  <c r="D27" i="11"/>
  <c r="D10" i="4" s="1"/>
  <c r="F8" i="18"/>
  <c r="G8" i="18" s="1"/>
  <c r="R29" i="11"/>
  <c r="H10" i="19"/>
  <c r="H18" i="23"/>
  <c r="H27" i="23" s="1"/>
  <c r="H14" i="20" s="1"/>
  <c r="U30" i="14"/>
  <c r="L13" i="18"/>
  <c r="V13" i="18" s="1"/>
  <c r="L10" i="19"/>
  <c r="U10" i="19" s="1"/>
  <c r="L18" i="23"/>
  <c r="L27" i="23" s="1"/>
  <c r="L14" i="20" s="1"/>
  <c r="T14" i="20" s="1"/>
  <c r="U27" i="10"/>
  <c r="U30" i="10" s="1"/>
  <c r="L21" i="10"/>
  <c r="D52" i="12"/>
  <c r="D21" i="18" s="1"/>
  <c r="D23" i="18" s="1"/>
  <c r="T30" i="14"/>
  <c r="C10" i="19"/>
  <c r="C18" i="23"/>
  <c r="C27" i="23" s="1"/>
  <c r="C14" i="20" s="1"/>
  <c r="C13" i="18"/>
  <c r="G13" i="18"/>
  <c r="G10" i="19"/>
  <c r="G18" i="23"/>
  <c r="G27" i="23" s="1"/>
  <c r="M13" i="18"/>
  <c r="W13" i="18" s="1"/>
  <c r="M10" i="19"/>
  <c r="V10" i="19" s="1"/>
  <c r="M18" i="23"/>
  <c r="M27" i="23" s="1"/>
  <c r="V30" i="14"/>
  <c r="E42" i="12"/>
  <c r="R43" i="12" s="1"/>
  <c r="T27" i="10"/>
  <c r="T30" i="10" s="1"/>
  <c r="K21" i="10"/>
  <c r="V27" i="10"/>
  <c r="V30" i="10" s="1"/>
  <c r="M21" i="10"/>
  <c r="E10" i="19"/>
  <c r="E13" i="18"/>
  <c r="E18" i="23"/>
  <c r="E27" i="23" s="1"/>
  <c r="E14" i="20" s="1"/>
  <c r="Q14" i="20" s="1"/>
  <c r="E45" i="12"/>
  <c r="R46" i="12" s="1"/>
  <c r="K13" i="18"/>
  <c r="U13" i="18" s="1"/>
  <c r="K10" i="19"/>
  <c r="T10" i="19" s="1"/>
  <c r="K18" i="23"/>
  <c r="K27" i="23" s="1"/>
  <c r="B15" i="18"/>
  <c r="R33" i="15"/>
  <c r="S33" i="15"/>
  <c r="E49" i="12"/>
  <c r="R50" i="12" s="1"/>
  <c r="F45" i="17"/>
  <c r="E47" i="12"/>
  <c r="R48" i="12" s="1"/>
  <c r="E51" i="12"/>
  <c r="E69" i="12" s="1"/>
  <c r="F46" i="17"/>
  <c r="E48" i="12"/>
  <c r="R49" i="12" s="1"/>
  <c r="E46" i="12"/>
  <c r="R47" i="12" s="1"/>
  <c r="E43" i="12"/>
  <c r="R44" i="12" s="1"/>
  <c r="E41" i="12"/>
  <c r="R42" i="12" s="1"/>
  <c r="F47" i="17"/>
  <c r="S30" i="14"/>
  <c r="F44" i="17"/>
  <c r="E45" i="2"/>
  <c r="D52" i="10"/>
  <c r="D19" i="23" s="1"/>
  <c r="N8" i="20"/>
  <c r="V8" i="20" s="1"/>
  <c r="U8" i="20"/>
  <c r="E49" i="17"/>
  <c r="E30" i="18" s="1"/>
  <c r="R25" i="2"/>
  <c r="R28" i="2" s="1"/>
  <c r="D30" i="18"/>
  <c r="F48" i="10"/>
  <c r="E51" i="10"/>
  <c r="R78" i="10" s="1"/>
  <c r="E50" i="10"/>
  <c r="R77" i="10" s="1"/>
  <c r="E49" i="10"/>
  <c r="C9" i="4"/>
  <c r="C32" i="23"/>
  <c r="C41" i="23" s="1"/>
  <c r="C28" i="23"/>
  <c r="C40" i="23" s="1"/>
  <c r="V24" i="4"/>
  <c r="N8" i="4"/>
  <c r="W24" i="4" s="1"/>
  <c r="C15" i="18"/>
  <c r="H71" i="22"/>
  <c r="T8" i="18"/>
  <c r="C11" i="24" s="1"/>
  <c r="D21" i="10"/>
  <c r="R27" i="10"/>
  <c r="R30" i="10" s="1"/>
  <c r="B14" i="20"/>
  <c r="B39" i="23"/>
  <c r="B29" i="23"/>
  <c r="D66" i="12"/>
  <c r="C30" i="12"/>
  <c r="W28" i="10"/>
  <c r="W30" i="10" s="1"/>
  <c r="N21" i="10"/>
  <c r="D67" i="12"/>
  <c r="C31" i="12"/>
  <c r="F17" i="2"/>
  <c r="F42" i="2" s="1"/>
  <c r="G41" i="2"/>
  <c r="S24" i="2"/>
  <c r="F19" i="2"/>
  <c r="F44" i="2" s="1"/>
  <c r="F18" i="2"/>
  <c r="F43" i="2" s="1"/>
  <c r="B15" i="20"/>
  <c r="B40" i="23"/>
  <c r="B20" i="20"/>
  <c r="B41" i="23"/>
  <c r="B33" i="23"/>
  <c r="D18" i="23"/>
  <c r="D27" i="23" s="1"/>
  <c r="D10" i="19"/>
  <c r="D13" i="18"/>
  <c r="D68" i="12"/>
  <c r="C32" i="12"/>
  <c r="C26" i="12"/>
  <c r="D62" i="12"/>
  <c r="D37" i="17"/>
  <c r="D29" i="18" s="1"/>
  <c r="F28" i="17"/>
  <c r="E36" i="17"/>
  <c r="E35" i="17"/>
  <c r="E34" i="17"/>
  <c r="E32" i="17"/>
  <c r="E31" i="17"/>
  <c r="E33" i="17"/>
  <c r="E29" i="17"/>
  <c r="G40" i="12"/>
  <c r="F41" i="12" s="1"/>
  <c r="S41" i="12"/>
  <c r="D60" i="12"/>
  <c r="C24" i="12"/>
  <c r="N7" i="22"/>
  <c r="W7" i="22" s="1"/>
  <c r="V7" i="22"/>
  <c r="C28" i="12"/>
  <c r="D64" i="12"/>
  <c r="S27" i="10"/>
  <c r="S30" i="10" s="1"/>
  <c r="F21" i="10"/>
  <c r="D65" i="12"/>
  <c r="C29" i="12"/>
  <c r="U23" i="12"/>
  <c r="M22" i="12"/>
  <c r="E50" i="12"/>
  <c r="R51" i="12" s="1"/>
  <c r="D59" i="12"/>
  <c r="C23" i="12"/>
  <c r="C70" i="12"/>
  <c r="C12" i="20" s="1"/>
  <c r="C25" i="12"/>
  <c r="D61" i="12"/>
  <c r="B11" i="19"/>
  <c r="B12" i="19" s="1"/>
  <c r="B14" i="18"/>
  <c r="F18" i="23"/>
  <c r="F27" i="23" s="1"/>
  <c r="F13" i="18"/>
  <c r="F10" i="19"/>
  <c r="D63" i="12"/>
  <c r="C27" i="12"/>
  <c r="I10" i="19"/>
  <c r="I18" i="23"/>
  <c r="I27" i="23" s="1"/>
  <c r="I13" i="18"/>
  <c r="W27" i="15"/>
  <c r="W28" i="15" s="1"/>
  <c r="N49" i="15"/>
  <c r="U8" i="19"/>
  <c r="M8" i="19"/>
  <c r="B32" i="18"/>
  <c r="N18" i="23"/>
  <c r="N27" i="23" s="1"/>
  <c r="N13" i="18"/>
  <c r="N10" i="19"/>
  <c r="D33" i="12"/>
  <c r="H43" i="17"/>
  <c r="G47" i="17" s="1"/>
  <c r="B34" i="12"/>
  <c r="B11" i="4" s="1"/>
  <c r="B12" i="4" s="1"/>
  <c r="D15" i="19" l="1"/>
  <c r="D15" i="18"/>
  <c r="E27" i="11"/>
  <c r="E10" i="4" s="1"/>
  <c r="F20" i="11"/>
  <c r="F21" i="11"/>
  <c r="F22" i="11"/>
  <c r="F26" i="11"/>
  <c r="F24" i="11"/>
  <c r="G18" i="11"/>
  <c r="S25" i="11"/>
  <c r="F23" i="11"/>
  <c r="F25" i="11"/>
  <c r="R27" i="11"/>
  <c r="R34" i="11" s="1"/>
  <c r="S13" i="18"/>
  <c r="F46" i="12"/>
  <c r="F44" i="12"/>
  <c r="C39" i="23"/>
  <c r="C42" i="23" s="1"/>
  <c r="W33" i="15"/>
  <c r="W54" i="15"/>
  <c r="F49" i="12"/>
  <c r="R10" i="19"/>
  <c r="K14" i="20"/>
  <c r="S14" i="20" s="1"/>
  <c r="L39" i="23"/>
  <c r="G14" i="20"/>
  <c r="H39" i="23"/>
  <c r="G46" i="17"/>
  <c r="F51" i="12"/>
  <c r="F69" i="12" s="1"/>
  <c r="M14" i="20"/>
  <c r="U14" i="20" s="1"/>
  <c r="M39" i="23"/>
  <c r="F48" i="12"/>
  <c r="F45" i="12"/>
  <c r="F49" i="17"/>
  <c r="F19" i="20" s="1"/>
  <c r="F42" i="12"/>
  <c r="F43" i="12"/>
  <c r="F50" i="12"/>
  <c r="F47" i="12"/>
  <c r="D32" i="18"/>
  <c r="S30" i="18"/>
  <c r="G45" i="17"/>
  <c r="E52" i="10"/>
  <c r="E19" i="23" s="1"/>
  <c r="E19" i="20"/>
  <c r="R76" i="10"/>
  <c r="R79" i="10" s="1"/>
  <c r="C11" i="19"/>
  <c r="C12" i="19" s="1"/>
  <c r="C14" i="18"/>
  <c r="G48" i="17"/>
  <c r="D28" i="23"/>
  <c r="D29" i="23" s="1"/>
  <c r="D32" i="23"/>
  <c r="D9" i="4"/>
  <c r="C29" i="23"/>
  <c r="C15" i="20"/>
  <c r="F51" i="10"/>
  <c r="F49" i="10"/>
  <c r="G48" i="10"/>
  <c r="F50" i="10"/>
  <c r="S75" i="10"/>
  <c r="G44" i="17"/>
  <c r="C33" i="23"/>
  <c r="C20" i="20"/>
  <c r="C21" i="20" s="1"/>
  <c r="E64" i="12"/>
  <c r="R65" i="12" s="1"/>
  <c r="D28" i="12"/>
  <c r="F30" i="17"/>
  <c r="G28" i="17"/>
  <c r="F34" i="17"/>
  <c r="F35" i="17"/>
  <c r="F36" i="17"/>
  <c r="F31" i="17"/>
  <c r="F32" i="17"/>
  <c r="F33" i="17"/>
  <c r="F29" i="17"/>
  <c r="D14" i="20"/>
  <c r="E39" i="23"/>
  <c r="D39" i="23"/>
  <c r="B21" i="20"/>
  <c r="F45" i="2"/>
  <c r="R52" i="12"/>
  <c r="B16" i="24" s="1"/>
  <c r="B42" i="23"/>
  <c r="C34" i="12"/>
  <c r="C11" i="4" s="1"/>
  <c r="W10" i="19"/>
  <c r="K39" i="23"/>
  <c r="I14" i="20"/>
  <c r="R14" i="20" s="1"/>
  <c r="I39" i="23"/>
  <c r="D27" i="12"/>
  <c r="E63" i="12"/>
  <c r="G39" i="23"/>
  <c r="F14" i="20"/>
  <c r="F39" i="23"/>
  <c r="D23" i="12"/>
  <c r="E59" i="12" s="1"/>
  <c r="R60" i="12" s="1"/>
  <c r="D70" i="12"/>
  <c r="D12" i="20" s="1"/>
  <c r="N22" i="12"/>
  <c r="W23" i="12" s="1"/>
  <c r="V23" i="12"/>
  <c r="E62" i="12"/>
  <c r="D26" i="12"/>
  <c r="D32" i="12"/>
  <c r="E68" i="12"/>
  <c r="E52" i="12"/>
  <c r="E21" i="18" s="1"/>
  <c r="B16" i="19"/>
  <c r="B8" i="22"/>
  <c r="B13" i="19"/>
  <c r="T13" i="18"/>
  <c r="D25" i="12"/>
  <c r="E61" i="12"/>
  <c r="R62" i="12" s="1"/>
  <c r="I43" i="17"/>
  <c r="H48" i="17" s="1"/>
  <c r="X13" i="18"/>
  <c r="V8" i="19"/>
  <c r="N8" i="19"/>
  <c r="W8" i="19" s="1"/>
  <c r="H40" i="12"/>
  <c r="G46" i="12" s="1"/>
  <c r="E66" i="12"/>
  <c r="D30" i="12"/>
  <c r="B13" i="20"/>
  <c r="B18" i="19"/>
  <c r="E33" i="12"/>
  <c r="N14" i="20"/>
  <c r="V14" i="20" s="1"/>
  <c r="N39" i="23"/>
  <c r="S10" i="19"/>
  <c r="E65" i="12"/>
  <c r="D29" i="12"/>
  <c r="D24" i="12"/>
  <c r="E60" i="12"/>
  <c r="R61" i="12" s="1"/>
  <c r="E30" i="17"/>
  <c r="E37" i="17" s="1"/>
  <c r="E29" i="18" s="1"/>
  <c r="G19" i="2"/>
  <c r="G44" i="2" s="1"/>
  <c r="H41" i="2"/>
  <c r="G17" i="2"/>
  <c r="G42" i="2" s="1"/>
  <c r="G18" i="2"/>
  <c r="G43" i="2" s="1"/>
  <c r="D31" i="12"/>
  <c r="E67" i="12"/>
  <c r="R68" i="12" s="1"/>
  <c r="B35" i="23"/>
  <c r="H8" i="18"/>
  <c r="L43" i="22"/>
  <c r="K47" i="22" s="1"/>
  <c r="I71" i="22"/>
  <c r="F30" i="18" l="1"/>
  <c r="G24" i="11"/>
  <c r="G21" i="11"/>
  <c r="G22" i="11"/>
  <c r="G25" i="11"/>
  <c r="G23" i="11"/>
  <c r="H18" i="11"/>
  <c r="G26" i="11"/>
  <c r="G20" i="11"/>
  <c r="F27" i="11"/>
  <c r="F10" i="4" s="1"/>
  <c r="R26" i="4"/>
  <c r="E15" i="18"/>
  <c r="S15" i="18" s="1"/>
  <c r="E15" i="19"/>
  <c r="R15" i="19" s="1"/>
  <c r="H44" i="17"/>
  <c r="H46" i="17"/>
  <c r="D40" i="23"/>
  <c r="H45" i="17"/>
  <c r="G49" i="17"/>
  <c r="G19" i="20" s="1"/>
  <c r="F52" i="12"/>
  <c r="F21" i="18" s="1"/>
  <c r="F23" i="18" s="1"/>
  <c r="G50" i="12"/>
  <c r="G41" i="12"/>
  <c r="G42" i="12"/>
  <c r="G44" i="12"/>
  <c r="G47" i="12"/>
  <c r="G45" i="12"/>
  <c r="F52" i="10"/>
  <c r="F19" i="23" s="1"/>
  <c r="D15" i="20"/>
  <c r="D14" i="18"/>
  <c r="D11" i="19"/>
  <c r="D12" i="19" s="1"/>
  <c r="E32" i="23"/>
  <c r="E28" i="23"/>
  <c r="E40" i="23" s="1"/>
  <c r="E9" i="4"/>
  <c r="R25" i="4" s="1"/>
  <c r="Q19" i="20"/>
  <c r="G48" i="12"/>
  <c r="G49" i="10"/>
  <c r="H48" i="10"/>
  <c r="G51" i="10"/>
  <c r="G50" i="10"/>
  <c r="D20" i="20"/>
  <c r="D33" i="23"/>
  <c r="D35" i="23" s="1"/>
  <c r="D41" i="23"/>
  <c r="G43" i="12"/>
  <c r="C35" i="23"/>
  <c r="C36" i="23" s="1"/>
  <c r="C16" i="18" s="1"/>
  <c r="C16" i="19"/>
  <c r="C9" i="22" s="1"/>
  <c r="C8" i="22"/>
  <c r="C13" i="19"/>
  <c r="E32" i="18"/>
  <c r="S32" i="18" s="1"/>
  <c r="S29" i="18"/>
  <c r="F33" i="12"/>
  <c r="E26" i="12"/>
  <c r="R27" i="12" s="1"/>
  <c r="F62" i="12"/>
  <c r="R63" i="12"/>
  <c r="G30" i="18"/>
  <c r="F65" i="12"/>
  <c r="E29" i="12"/>
  <c r="R30" i="12" s="1"/>
  <c r="R66" i="12"/>
  <c r="F66" i="12"/>
  <c r="E30" i="12"/>
  <c r="R31" i="12" s="1"/>
  <c r="R67" i="12"/>
  <c r="I40" i="12"/>
  <c r="H51" i="12" s="1"/>
  <c r="K43" i="17"/>
  <c r="I48" i="17" s="1"/>
  <c r="F68" i="12"/>
  <c r="E32" i="12"/>
  <c r="R33" i="12" s="1"/>
  <c r="R69" i="12"/>
  <c r="E23" i="12"/>
  <c r="F59" i="12" s="1"/>
  <c r="E70" i="12"/>
  <c r="E12" i="20" s="1"/>
  <c r="Q12" i="20" s="1"/>
  <c r="F63" i="12"/>
  <c r="E27" i="12"/>
  <c r="R28" i="12" s="1"/>
  <c r="R64" i="12"/>
  <c r="C13" i="20"/>
  <c r="C18" i="19"/>
  <c r="C12" i="4"/>
  <c r="H28" i="17"/>
  <c r="G29" i="17"/>
  <c r="G31" i="17"/>
  <c r="G30" i="17"/>
  <c r="G35" i="17"/>
  <c r="G36" i="17"/>
  <c r="G33" i="17"/>
  <c r="G34" i="17"/>
  <c r="G32" i="17"/>
  <c r="E28" i="12"/>
  <c r="R29" i="12" s="1"/>
  <c r="F64" i="12"/>
  <c r="M43" i="22"/>
  <c r="L47" i="22" s="1"/>
  <c r="K71" i="22"/>
  <c r="I8" i="18"/>
  <c r="G45" i="2"/>
  <c r="E24" i="12"/>
  <c r="F60" i="12" s="1"/>
  <c r="G51" i="12"/>
  <c r="G69" i="12" s="1"/>
  <c r="H47" i="17"/>
  <c r="E23" i="18"/>
  <c r="S23" i="18" s="1"/>
  <c r="S21" i="18"/>
  <c r="F37" i="17"/>
  <c r="F29" i="18" s="1"/>
  <c r="B36" i="23"/>
  <c r="B16" i="18" s="1"/>
  <c r="F67" i="12"/>
  <c r="E31" i="12"/>
  <c r="R32" i="12" s="1"/>
  <c r="H19" i="2"/>
  <c r="H44" i="2" s="1"/>
  <c r="I41" i="2"/>
  <c r="H18" i="2"/>
  <c r="H43" i="2" s="1"/>
  <c r="H17" i="2"/>
  <c r="H42" i="2" s="1"/>
  <c r="G49" i="12"/>
  <c r="E25" i="12"/>
  <c r="R26" i="12" s="1"/>
  <c r="B9" i="22"/>
  <c r="B19" i="19"/>
  <c r="D34" i="12"/>
  <c r="D11" i="4" s="1"/>
  <c r="G27" i="11" l="1"/>
  <c r="G10" i="4" s="1"/>
  <c r="I18" i="11"/>
  <c r="H24" i="11"/>
  <c r="H26" i="11"/>
  <c r="H25" i="11"/>
  <c r="H20" i="11"/>
  <c r="H23" i="11"/>
  <c r="H21" i="11"/>
  <c r="H22" i="11"/>
  <c r="G15" i="19"/>
  <c r="G15" i="18"/>
  <c r="F15" i="18"/>
  <c r="F15" i="19"/>
  <c r="H49" i="17"/>
  <c r="H49" i="12"/>
  <c r="F61" i="12"/>
  <c r="F25" i="12" s="1"/>
  <c r="G61" i="12" s="1"/>
  <c r="H45" i="12"/>
  <c r="D42" i="23"/>
  <c r="C19" i="19"/>
  <c r="C10" i="22" s="1"/>
  <c r="H50" i="12"/>
  <c r="H41" i="12"/>
  <c r="G52" i="10"/>
  <c r="G19" i="23" s="1"/>
  <c r="G28" i="23" s="1"/>
  <c r="I45" i="17"/>
  <c r="I47" i="17"/>
  <c r="I46" i="17"/>
  <c r="I44" i="17"/>
  <c r="H48" i="12"/>
  <c r="D21" i="20"/>
  <c r="E14" i="18"/>
  <c r="S14" i="18" s="1"/>
  <c r="E11" i="19"/>
  <c r="H44" i="12"/>
  <c r="R24" i="12"/>
  <c r="H42" i="12"/>
  <c r="E15" i="20"/>
  <c r="Q15" i="20" s="1"/>
  <c r="E29" i="23"/>
  <c r="H46" i="12"/>
  <c r="H47" i="12"/>
  <c r="E41" i="23"/>
  <c r="E42" i="23" s="1"/>
  <c r="E33" i="23"/>
  <c r="E20" i="20"/>
  <c r="E21" i="20" s="1"/>
  <c r="F9" i="4"/>
  <c r="F32" i="23"/>
  <c r="F28" i="23"/>
  <c r="D36" i="23"/>
  <c r="D16" i="18" s="1"/>
  <c r="H43" i="12"/>
  <c r="R70" i="12"/>
  <c r="H49" i="10"/>
  <c r="I48" i="10"/>
  <c r="H51" i="10"/>
  <c r="H50" i="10"/>
  <c r="D16" i="19"/>
  <c r="D8" i="22"/>
  <c r="D13" i="19"/>
  <c r="G33" i="12"/>
  <c r="H69" i="12"/>
  <c r="H19" i="20"/>
  <c r="H30" i="18"/>
  <c r="F24" i="12"/>
  <c r="G60" i="12" s="1"/>
  <c r="G67" i="12"/>
  <c r="F31" i="12"/>
  <c r="F32" i="18"/>
  <c r="F28" i="12"/>
  <c r="G64" i="12"/>
  <c r="F23" i="12"/>
  <c r="G59" i="12" s="1"/>
  <c r="K41" i="2"/>
  <c r="I19" i="2"/>
  <c r="I44" i="2" s="1"/>
  <c r="S27" i="2" s="1"/>
  <c r="I18" i="2"/>
  <c r="I43" i="2" s="1"/>
  <c r="S26" i="2" s="1"/>
  <c r="I17" i="2"/>
  <c r="I42" i="2" s="1"/>
  <c r="S25" i="2" s="1"/>
  <c r="N43" i="22"/>
  <c r="M47" i="22" s="1"/>
  <c r="K8" i="18"/>
  <c r="L71" i="22"/>
  <c r="G37" i="17"/>
  <c r="G29" i="18" s="1"/>
  <c r="G32" i="18" s="1"/>
  <c r="G63" i="12"/>
  <c r="F27" i="12"/>
  <c r="F29" i="12"/>
  <c r="G65" i="12"/>
  <c r="D13" i="20"/>
  <c r="D18" i="19"/>
  <c r="D12" i="4"/>
  <c r="I28" i="17"/>
  <c r="H29" i="17"/>
  <c r="H30" i="17"/>
  <c r="H35" i="17"/>
  <c r="H31" i="17"/>
  <c r="H33" i="17"/>
  <c r="H36" i="17"/>
  <c r="H34" i="17"/>
  <c r="H32" i="17"/>
  <c r="L43" i="17"/>
  <c r="K47" i="17" s="1"/>
  <c r="G66" i="12"/>
  <c r="F30" i="12"/>
  <c r="F26" i="12"/>
  <c r="G62" i="12" s="1"/>
  <c r="G52" i="12"/>
  <c r="G21" i="18" s="1"/>
  <c r="R25" i="12"/>
  <c r="B10" i="22"/>
  <c r="B22" i="19"/>
  <c r="H45" i="2"/>
  <c r="E34" i="12"/>
  <c r="E11" i="4" s="1"/>
  <c r="R27" i="4" s="1"/>
  <c r="R28" i="4" s="1"/>
  <c r="G68" i="12"/>
  <c r="F32" i="12"/>
  <c r="K40" i="12"/>
  <c r="I50" i="12" s="1"/>
  <c r="F70" i="12" l="1"/>
  <c r="F12" i="20" s="1"/>
  <c r="H27" i="11"/>
  <c r="H10" i="4" s="1"/>
  <c r="I26" i="11"/>
  <c r="S33" i="11" s="1"/>
  <c r="I21" i="11"/>
  <c r="S28" i="11" s="1"/>
  <c r="I24" i="11"/>
  <c r="S31" i="11" s="1"/>
  <c r="I20" i="11"/>
  <c r="I23" i="11"/>
  <c r="S30" i="11" s="1"/>
  <c r="K18" i="11"/>
  <c r="I25" i="11"/>
  <c r="S32" i="11" s="1"/>
  <c r="I22" i="11"/>
  <c r="S29" i="11" s="1"/>
  <c r="S51" i="12"/>
  <c r="C22" i="19"/>
  <c r="C24" i="19" s="1"/>
  <c r="C17" i="18" s="1"/>
  <c r="C18" i="18" s="1"/>
  <c r="G9" i="4"/>
  <c r="G11" i="19" s="1"/>
  <c r="G12" i="19" s="1"/>
  <c r="G32" i="23"/>
  <c r="G33" i="23" s="1"/>
  <c r="I42" i="12"/>
  <c r="S43" i="12" s="1"/>
  <c r="R34" i="12"/>
  <c r="K45" i="17"/>
  <c r="K44" i="17"/>
  <c r="K46" i="17"/>
  <c r="K48" i="17"/>
  <c r="I49" i="17"/>
  <c r="I19" i="20" s="1"/>
  <c r="R19" i="20" s="1"/>
  <c r="H52" i="12"/>
  <c r="H21" i="18" s="1"/>
  <c r="H23" i="18" s="1"/>
  <c r="I45" i="12"/>
  <c r="S46" i="12" s="1"/>
  <c r="H52" i="10"/>
  <c r="H19" i="23" s="1"/>
  <c r="H9" i="4" s="1"/>
  <c r="I47" i="12"/>
  <c r="S48" i="12" s="1"/>
  <c r="I41" i="12"/>
  <c r="S42" i="12" s="1"/>
  <c r="I44" i="12"/>
  <c r="S45" i="12" s="1"/>
  <c r="I46" i="12"/>
  <c r="S47" i="12" s="1"/>
  <c r="I49" i="12"/>
  <c r="S50" i="12" s="1"/>
  <c r="I51" i="12"/>
  <c r="I69" i="12" s="1"/>
  <c r="K48" i="10"/>
  <c r="I51" i="10"/>
  <c r="S78" i="10" s="1"/>
  <c r="I49" i="10"/>
  <c r="S76" i="10" s="1"/>
  <c r="I50" i="10"/>
  <c r="S77" i="10" s="1"/>
  <c r="F11" i="19"/>
  <c r="F12" i="19" s="1"/>
  <c r="F14" i="18"/>
  <c r="Q21" i="20"/>
  <c r="I45" i="2"/>
  <c r="G15" i="20"/>
  <c r="G29" i="23"/>
  <c r="D9" i="22"/>
  <c r="E12" i="19"/>
  <c r="R11" i="19"/>
  <c r="F40" i="23"/>
  <c r="F15" i="20"/>
  <c r="G40" i="23"/>
  <c r="F29" i="23"/>
  <c r="F41" i="23"/>
  <c r="F33" i="23"/>
  <c r="F20" i="20"/>
  <c r="F21" i="20" s="1"/>
  <c r="E35" i="23"/>
  <c r="E36" i="23" s="1"/>
  <c r="E16" i="18" s="1"/>
  <c r="S16" i="18" s="1"/>
  <c r="B17" i="24" s="1"/>
  <c r="Q20" i="20"/>
  <c r="B11" i="22"/>
  <c r="B24" i="19"/>
  <c r="B25" i="19" s="1"/>
  <c r="F34" i="12"/>
  <c r="F11" i="4" s="1"/>
  <c r="H68" i="12"/>
  <c r="G32" i="12"/>
  <c r="G26" i="12"/>
  <c r="H66" i="12"/>
  <c r="G30" i="12"/>
  <c r="M43" i="17"/>
  <c r="L44" i="17" s="1"/>
  <c r="G27" i="12"/>
  <c r="H63" i="12" s="1"/>
  <c r="K19" i="2"/>
  <c r="K44" i="2" s="1"/>
  <c r="T27" i="2" s="1"/>
  <c r="T24" i="2"/>
  <c r="U24" i="2" s="1"/>
  <c r="V24" i="2" s="1"/>
  <c r="W24" i="2" s="1"/>
  <c r="L41" i="2"/>
  <c r="K17" i="2"/>
  <c r="K42" i="2" s="1"/>
  <c r="K18" i="2"/>
  <c r="K43" i="2" s="1"/>
  <c r="T26" i="2" s="1"/>
  <c r="L40" i="12"/>
  <c r="K47" i="12" s="1"/>
  <c r="T48" i="12" s="1"/>
  <c r="T41" i="12"/>
  <c r="E13" i="20"/>
  <c r="Q13" i="20" s="1"/>
  <c r="E18" i="19"/>
  <c r="R18" i="19" s="1"/>
  <c r="B15" i="24" s="1"/>
  <c r="E12" i="4"/>
  <c r="H37" i="17"/>
  <c r="H29" i="18" s="1"/>
  <c r="H32" i="18" s="1"/>
  <c r="D19" i="19"/>
  <c r="O43" i="22"/>
  <c r="N47" i="22" s="1"/>
  <c r="L8" i="18"/>
  <c r="M71" i="22"/>
  <c r="U8" i="18"/>
  <c r="D11" i="24" s="1"/>
  <c r="G23" i="12"/>
  <c r="H59" i="12" s="1"/>
  <c r="G70" i="12"/>
  <c r="G12" i="20" s="1"/>
  <c r="H64" i="12"/>
  <c r="G28" i="12"/>
  <c r="G24" i="12"/>
  <c r="H60" i="12" s="1"/>
  <c r="H33" i="12"/>
  <c r="S28" i="2"/>
  <c r="I43" i="12"/>
  <c r="S44" i="12" s="1"/>
  <c r="I48" i="12"/>
  <c r="S49" i="12" s="1"/>
  <c r="G23" i="18"/>
  <c r="K28" i="17"/>
  <c r="I32" i="17"/>
  <c r="I31" i="17"/>
  <c r="I35" i="17"/>
  <c r="I33" i="17"/>
  <c r="I34" i="17"/>
  <c r="I29" i="17"/>
  <c r="I36" i="17"/>
  <c r="I30" i="17"/>
  <c r="G29" i="12"/>
  <c r="H65" i="12"/>
  <c r="G31" i="12"/>
  <c r="H67" i="12"/>
  <c r="G25" i="12"/>
  <c r="H61" i="12" s="1"/>
  <c r="K20" i="11" l="1"/>
  <c r="K22" i="11"/>
  <c r="T29" i="11" s="1"/>
  <c r="K25" i="11"/>
  <c r="T32" i="11" s="1"/>
  <c r="K21" i="11"/>
  <c r="T28" i="11" s="1"/>
  <c r="K26" i="11"/>
  <c r="T33" i="11" s="1"/>
  <c r="T25" i="11"/>
  <c r="L18" i="11"/>
  <c r="K23" i="11"/>
  <c r="T30" i="11" s="1"/>
  <c r="K24" i="11"/>
  <c r="T31" i="11" s="1"/>
  <c r="S27" i="11"/>
  <c r="S34" i="11" s="1"/>
  <c r="I27" i="11"/>
  <c r="I10" i="4" s="1"/>
  <c r="S26" i="4" s="1"/>
  <c r="H15" i="18"/>
  <c r="H15" i="19"/>
  <c r="G14" i="18"/>
  <c r="C11" i="22"/>
  <c r="G20" i="20"/>
  <c r="G21" i="20" s="1"/>
  <c r="G41" i="23"/>
  <c r="G42" i="23" s="1"/>
  <c r="H28" i="23"/>
  <c r="H40" i="23" s="1"/>
  <c r="K42" i="12"/>
  <c r="T43" i="12" s="1"/>
  <c r="K49" i="17"/>
  <c r="K30" i="18" s="1"/>
  <c r="U30" i="18" s="1"/>
  <c r="H32" i="23"/>
  <c r="H20" i="20" s="1"/>
  <c r="H21" i="20" s="1"/>
  <c r="I30" i="18"/>
  <c r="T30" i="18" s="1"/>
  <c r="K50" i="12"/>
  <c r="T51" i="12" s="1"/>
  <c r="K41" i="12"/>
  <c r="T42" i="12" s="1"/>
  <c r="K51" i="12"/>
  <c r="K69" i="12" s="1"/>
  <c r="K49" i="12"/>
  <c r="T50" i="12" s="1"/>
  <c r="L46" i="17"/>
  <c r="L45" i="17"/>
  <c r="K45" i="12"/>
  <c r="T46" i="12" s="1"/>
  <c r="L48" i="17"/>
  <c r="F35" i="23"/>
  <c r="F36" i="23" s="1"/>
  <c r="F16" i="18" s="1"/>
  <c r="K43" i="12"/>
  <c r="T44" i="12" s="1"/>
  <c r="G35" i="23"/>
  <c r="K46" i="12"/>
  <c r="T47" i="12" s="1"/>
  <c r="K48" i="12"/>
  <c r="T49" i="12" s="1"/>
  <c r="L47" i="17"/>
  <c r="K44" i="12"/>
  <c r="T45" i="12" s="1"/>
  <c r="S79" i="10"/>
  <c r="G16" i="19"/>
  <c r="G9" i="22" s="1"/>
  <c r="G8" i="22"/>
  <c r="G13" i="19"/>
  <c r="I52" i="10"/>
  <c r="I19" i="23" s="1"/>
  <c r="E8" i="22"/>
  <c r="R8" i="22" s="1"/>
  <c r="E13" i="19"/>
  <c r="E16" i="19"/>
  <c r="R12" i="19"/>
  <c r="H11" i="19"/>
  <c r="H12" i="19" s="1"/>
  <c r="H14" i="18"/>
  <c r="F13" i="19"/>
  <c r="F8" i="22"/>
  <c r="F16" i="19"/>
  <c r="F9" i="22" s="1"/>
  <c r="F42" i="23"/>
  <c r="T75" i="10"/>
  <c r="K49" i="10"/>
  <c r="K51" i="10"/>
  <c r="T78" i="10" s="1"/>
  <c r="K50" i="10"/>
  <c r="T77" i="10" s="1"/>
  <c r="L48" i="10"/>
  <c r="C34" i="18"/>
  <c r="E44" i="22" s="1"/>
  <c r="E48" i="22" s="1"/>
  <c r="C25" i="18"/>
  <c r="H24" i="12"/>
  <c r="I60" i="12" s="1"/>
  <c r="S61" i="12" s="1"/>
  <c r="I67" i="12"/>
  <c r="S68" i="12" s="1"/>
  <c r="H31" i="12"/>
  <c r="I37" i="17"/>
  <c r="I29" i="18" s="1"/>
  <c r="G34" i="12"/>
  <c r="G11" i="4" s="1"/>
  <c r="N71" i="22"/>
  <c r="V8" i="18"/>
  <c r="E11" i="24" s="1"/>
  <c r="M8" i="18"/>
  <c r="P43" i="22"/>
  <c r="O47" i="22" s="1"/>
  <c r="C25" i="19"/>
  <c r="C12" i="22" s="1"/>
  <c r="S52" i="12"/>
  <c r="C16" i="24" s="1"/>
  <c r="T25" i="2"/>
  <c r="T28" i="2" s="1"/>
  <c r="K45" i="2"/>
  <c r="H27" i="12"/>
  <c r="I63" i="12"/>
  <c r="S64" i="12" s="1"/>
  <c r="H30" i="12"/>
  <c r="I66" i="12"/>
  <c r="B12" i="22"/>
  <c r="L28" i="17"/>
  <c r="K35" i="17"/>
  <c r="K29" i="17"/>
  <c r="K31" i="17"/>
  <c r="K36" i="17"/>
  <c r="K34" i="17"/>
  <c r="K32" i="17"/>
  <c r="K33" i="17"/>
  <c r="K30" i="17"/>
  <c r="H28" i="12"/>
  <c r="I64" i="12" s="1"/>
  <c r="S65" i="12" s="1"/>
  <c r="U41" i="12"/>
  <c r="M40" i="12"/>
  <c r="L49" i="12" s="1"/>
  <c r="U50" i="12" s="1"/>
  <c r="L17" i="2"/>
  <c r="L42" i="2" s="1"/>
  <c r="M41" i="2"/>
  <c r="L19" i="2"/>
  <c r="L44" i="2" s="1"/>
  <c r="U27" i="2" s="1"/>
  <c r="L18" i="2"/>
  <c r="L43" i="2" s="1"/>
  <c r="U26" i="2" s="1"/>
  <c r="N43" i="17"/>
  <c r="M44" i="17" s="1"/>
  <c r="I52" i="12"/>
  <c r="I21" i="18" s="1"/>
  <c r="D22" i="19"/>
  <c r="D10" i="22"/>
  <c r="H62" i="12"/>
  <c r="H70" i="12" s="1"/>
  <c r="H12" i="20" s="1"/>
  <c r="B17" i="18"/>
  <c r="H25" i="12"/>
  <c r="H29" i="12"/>
  <c r="I65" i="12"/>
  <c r="I33" i="12"/>
  <c r="H23" i="12"/>
  <c r="I68" i="12"/>
  <c r="H32" i="12"/>
  <c r="F18" i="19"/>
  <c r="F13" i="20"/>
  <c r="F12" i="4"/>
  <c r="K19" i="20" l="1"/>
  <c r="L20" i="11"/>
  <c r="M18" i="11"/>
  <c r="L26" i="11"/>
  <c r="U33" i="11" s="1"/>
  <c r="L25" i="11"/>
  <c r="U32" i="11" s="1"/>
  <c r="U25" i="11"/>
  <c r="L23" i="11"/>
  <c r="U30" i="11" s="1"/>
  <c r="L24" i="11"/>
  <c r="U31" i="11" s="1"/>
  <c r="L22" i="11"/>
  <c r="U29" i="11" s="1"/>
  <c r="L21" i="11"/>
  <c r="U28" i="11" s="1"/>
  <c r="I15" i="19"/>
  <c r="S15" i="19" s="1"/>
  <c r="I15" i="18"/>
  <c r="T15" i="18" s="1"/>
  <c r="T27" i="11"/>
  <c r="T34" i="11" s="1"/>
  <c r="K27" i="11"/>
  <c r="K10" i="4" s="1"/>
  <c r="H29" i="23"/>
  <c r="H15" i="20"/>
  <c r="H33" i="23"/>
  <c r="H41" i="23"/>
  <c r="H42" i="23" s="1"/>
  <c r="M46" i="17"/>
  <c r="L49" i="17"/>
  <c r="L19" i="20" s="1"/>
  <c r="T19" i="20" s="1"/>
  <c r="M47" i="17"/>
  <c r="R13" i="19"/>
  <c r="R16" i="19"/>
  <c r="R19" i="19" s="1"/>
  <c r="G36" i="23"/>
  <c r="G16" i="18" s="1"/>
  <c r="L50" i="12"/>
  <c r="U51" i="12" s="1"/>
  <c r="L46" i="12"/>
  <c r="U47" i="12" s="1"/>
  <c r="K52" i="12"/>
  <c r="K21" i="18" s="1"/>
  <c r="K23" i="18" s="1"/>
  <c r="U23" i="18" s="1"/>
  <c r="L45" i="12"/>
  <c r="U46" i="12" s="1"/>
  <c r="L42" i="12"/>
  <c r="U43" i="12" s="1"/>
  <c r="L43" i="12"/>
  <c r="U44" i="12" s="1"/>
  <c r="L47" i="12"/>
  <c r="U48" i="12" s="1"/>
  <c r="L51" i="12"/>
  <c r="L69" i="12" s="1"/>
  <c r="M45" i="17"/>
  <c r="L48" i="12"/>
  <c r="U49" i="12" s="1"/>
  <c r="T52" i="12"/>
  <c r="D16" i="24" s="1"/>
  <c r="M48" i="17"/>
  <c r="L41" i="12"/>
  <c r="L44" i="12"/>
  <c r="U45" i="12" s="1"/>
  <c r="T76" i="10"/>
  <c r="T79" i="10" s="1"/>
  <c r="K52" i="10"/>
  <c r="K19" i="23" s="1"/>
  <c r="E9" i="22"/>
  <c r="R9" i="22" s="1"/>
  <c r="I32" i="23"/>
  <c r="I9" i="4"/>
  <c r="I28" i="23"/>
  <c r="L51" i="10"/>
  <c r="U78" i="10" s="1"/>
  <c r="U75" i="10"/>
  <c r="L49" i="10"/>
  <c r="L50" i="10"/>
  <c r="U77" i="10" s="1"/>
  <c r="M48" i="10"/>
  <c r="H16" i="19"/>
  <c r="H9" i="22" s="1"/>
  <c r="H13" i="19"/>
  <c r="H8" i="22"/>
  <c r="E19" i="19"/>
  <c r="I32" i="12"/>
  <c r="S33" i="12" s="1"/>
  <c r="K68" i="12"/>
  <c r="S69" i="12"/>
  <c r="F19" i="19"/>
  <c r="I59" i="12"/>
  <c r="I61" i="12"/>
  <c r="I23" i="18"/>
  <c r="T23" i="18" s="1"/>
  <c r="T21" i="18"/>
  <c r="N46" i="17"/>
  <c r="N47" i="17"/>
  <c r="N44" i="17"/>
  <c r="N45" i="17"/>
  <c r="N48" i="17"/>
  <c r="U25" i="2"/>
  <c r="U28" i="2" s="1"/>
  <c r="L45" i="2"/>
  <c r="N40" i="12"/>
  <c r="M49" i="12" s="1"/>
  <c r="V50" i="12" s="1"/>
  <c r="V41" i="12"/>
  <c r="K33" i="12"/>
  <c r="I29" i="12"/>
  <c r="S30" i="12" s="1"/>
  <c r="K65" i="12"/>
  <c r="H26" i="12"/>
  <c r="D11" i="22"/>
  <c r="D24" i="19"/>
  <c r="K37" i="17"/>
  <c r="K29" i="18" s="1"/>
  <c r="K66" i="12"/>
  <c r="I30" i="12"/>
  <c r="S31" i="12" s="1"/>
  <c r="S67" i="12"/>
  <c r="I31" i="12"/>
  <c r="S32" i="12" s="1"/>
  <c r="K67" i="12"/>
  <c r="S19" i="20"/>
  <c r="G13" i="20"/>
  <c r="G18" i="19"/>
  <c r="G19" i="19" s="1"/>
  <c r="G12" i="4"/>
  <c r="I32" i="18"/>
  <c r="T32" i="18" s="1"/>
  <c r="T29" i="18"/>
  <c r="S66" i="12"/>
  <c r="I24" i="12"/>
  <c r="S25" i="12" s="1"/>
  <c r="B18" i="18"/>
  <c r="B25" i="18" s="1"/>
  <c r="B26" i="18" s="1"/>
  <c r="C26" i="18" s="1"/>
  <c r="M17" i="2"/>
  <c r="M42" i="2" s="1"/>
  <c r="N41" i="2"/>
  <c r="M19" i="2"/>
  <c r="M44" i="2" s="1"/>
  <c r="V27" i="2" s="1"/>
  <c r="M18" i="2"/>
  <c r="M43" i="2" s="1"/>
  <c r="V26" i="2" s="1"/>
  <c r="I28" i="12"/>
  <c r="S29" i="12" s="1"/>
  <c r="M28" i="17"/>
  <c r="L30" i="17"/>
  <c r="L31" i="17"/>
  <c r="L33" i="17"/>
  <c r="L35" i="17"/>
  <c r="L36" i="17"/>
  <c r="L29" i="17"/>
  <c r="L34" i="17"/>
  <c r="L32" i="17"/>
  <c r="I27" i="12"/>
  <c r="S28" i="12" s="1"/>
  <c r="O71" i="22"/>
  <c r="W8" i="18"/>
  <c r="F11" i="24" s="1"/>
  <c r="Q43" i="22"/>
  <c r="P47" i="22" s="1"/>
  <c r="N8" i="18"/>
  <c r="L30" i="18" l="1"/>
  <c r="V30" i="18" s="1"/>
  <c r="M45" i="12"/>
  <c r="V46" i="12" s="1"/>
  <c r="M25" i="11"/>
  <c r="V32" i="11" s="1"/>
  <c r="V25" i="11"/>
  <c r="M20" i="11"/>
  <c r="M21" i="11"/>
  <c r="V28" i="11" s="1"/>
  <c r="N18" i="11"/>
  <c r="M23" i="11"/>
  <c r="V30" i="11" s="1"/>
  <c r="M22" i="11"/>
  <c r="V29" i="11" s="1"/>
  <c r="M26" i="11"/>
  <c r="V33" i="11" s="1"/>
  <c r="M24" i="11"/>
  <c r="V31" i="11" s="1"/>
  <c r="T26" i="4"/>
  <c r="K15" i="19"/>
  <c r="T15" i="19" s="1"/>
  <c r="K15" i="18"/>
  <c r="U15" i="18" s="1"/>
  <c r="L27" i="11"/>
  <c r="L10" i="4" s="1"/>
  <c r="U27" i="11"/>
  <c r="U34" i="11" s="1"/>
  <c r="U21" i="18"/>
  <c r="M48" i="12"/>
  <c r="V49" i="12" s="1"/>
  <c r="H35" i="23"/>
  <c r="H36" i="23" s="1"/>
  <c r="H16" i="18" s="1"/>
  <c r="M49" i="17"/>
  <c r="M19" i="20" s="1"/>
  <c r="K60" i="12"/>
  <c r="L52" i="12"/>
  <c r="L21" i="18" s="1"/>
  <c r="L23" i="18" s="1"/>
  <c r="V23" i="18" s="1"/>
  <c r="U42" i="12"/>
  <c r="U52" i="12" s="1"/>
  <c r="E16" i="24" s="1"/>
  <c r="M50" i="10"/>
  <c r="V77" i="10" s="1"/>
  <c r="V75" i="10"/>
  <c r="M51" i="10"/>
  <c r="V78" i="10" s="1"/>
  <c r="N48" i="10"/>
  <c r="M49" i="10"/>
  <c r="M43" i="12"/>
  <c r="V44" i="12" s="1"/>
  <c r="M44" i="12"/>
  <c r="V45" i="12" s="1"/>
  <c r="M51" i="12"/>
  <c r="M69" i="12" s="1"/>
  <c r="M41" i="12"/>
  <c r="V42" i="12" s="1"/>
  <c r="K63" i="12"/>
  <c r="K27" i="12" s="1"/>
  <c r="T28" i="12" s="1"/>
  <c r="M46" i="12"/>
  <c r="V47" i="12" s="1"/>
  <c r="M42" i="12"/>
  <c r="V43" i="12" s="1"/>
  <c r="M47" i="12"/>
  <c r="V48" i="12" s="1"/>
  <c r="I40" i="23"/>
  <c r="I15" i="20"/>
  <c r="R15" i="20" s="1"/>
  <c r="I29" i="23"/>
  <c r="K32" i="23"/>
  <c r="K28" i="23"/>
  <c r="K9" i="4"/>
  <c r="I33" i="23"/>
  <c r="I41" i="23"/>
  <c r="I20" i="20"/>
  <c r="R20" i="20" s="1"/>
  <c r="B13" i="24"/>
  <c r="E22" i="19"/>
  <c r="E10" i="22"/>
  <c r="R10" i="22" s="1"/>
  <c r="U76" i="10"/>
  <c r="U79" i="10" s="1"/>
  <c r="L52" i="10"/>
  <c r="L19" i="23" s="1"/>
  <c r="M50" i="12"/>
  <c r="V51" i="12" s="1"/>
  <c r="S25" i="4"/>
  <c r="I11" i="19"/>
  <c r="I14" i="18"/>
  <c r="T14" i="18" s="1"/>
  <c r="B34" i="18"/>
  <c r="U29" i="18"/>
  <c r="K32" i="18"/>
  <c r="U32" i="18" s="1"/>
  <c r="L33" i="12"/>
  <c r="N49" i="12"/>
  <c r="W50" i="12" s="1"/>
  <c r="N43" i="12"/>
  <c r="W44" i="12" s="1"/>
  <c r="N50" i="12"/>
  <c r="W51" i="12" s="1"/>
  <c r="W41" i="12"/>
  <c r="N41" i="12"/>
  <c r="N42" i="12"/>
  <c r="W43" i="12" s="1"/>
  <c r="N48" i="12"/>
  <c r="W49" i="12" s="1"/>
  <c r="N47" i="12"/>
  <c r="W48" i="12" s="1"/>
  <c r="N44" i="12"/>
  <c r="W45" i="12" s="1"/>
  <c r="N51" i="12"/>
  <c r="N45" i="12"/>
  <c r="W46" i="12" s="1"/>
  <c r="N46" i="12"/>
  <c r="W47" i="12" s="1"/>
  <c r="T66" i="12"/>
  <c r="K29" i="12"/>
  <c r="T30" i="12" s="1"/>
  <c r="H34" i="12"/>
  <c r="H11" i="4" s="1"/>
  <c r="N28" i="17"/>
  <c r="M36" i="17"/>
  <c r="M34" i="17"/>
  <c r="M32" i="17"/>
  <c r="M30" i="17"/>
  <c r="M33" i="17"/>
  <c r="M35" i="17"/>
  <c r="M29" i="17"/>
  <c r="M31" i="17"/>
  <c r="N17" i="2"/>
  <c r="N42" i="2" s="1"/>
  <c r="N19" i="2"/>
  <c r="N44" i="2" s="1"/>
  <c r="W27" i="2" s="1"/>
  <c r="N18" i="2"/>
  <c r="N43" i="2" s="1"/>
  <c r="W26" i="2" s="1"/>
  <c r="T61" i="12"/>
  <c r="K24" i="12"/>
  <c r="T25" i="12" s="1"/>
  <c r="D17" i="18"/>
  <c r="I25" i="12"/>
  <c r="S26" i="12" s="1"/>
  <c r="S62" i="12"/>
  <c r="X8" i="18"/>
  <c r="G11" i="24" s="1"/>
  <c r="R43" i="22"/>
  <c r="Q47" i="22" s="1"/>
  <c r="L37" i="17"/>
  <c r="L29" i="18" s="1"/>
  <c r="K64" i="12"/>
  <c r="V25" i="2"/>
  <c r="V28" i="2" s="1"/>
  <c r="M45" i="2"/>
  <c r="G10" i="22"/>
  <c r="G22" i="19"/>
  <c r="K31" i="12"/>
  <c r="T32" i="12" s="1"/>
  <c r="T68" i="12"/>
  <c r="L67" i="12"/>
  <c r="K30" i="12"/>
  <c r="T31" i="12" s="1"/>
  <c r="L66" i="12"/>
  <c r="T67" i="12"/>
  <c r="D25" i="19"/>
  <c r="I62" i="12"/>
  <c r="I70" i="12" s="1"/>
  <c r="I12" i="20" s="1"/>
  <c r="R12" i="20" s="1"/>
  <c r="N49" i="17"/>
  <c r="I23" i="12"/>
  <c r="S60" i="12"/>
  <c r="F22" i="19"/>
  <c r="F10" i="22"/>
  <c r="K32" i="12"/>
  <c r="T33" i="12" s="1"/>
  <c r="L68" i="12"/>
  <c r="T69" i="12"/>
  <c r="V27" i="11" l="1"/>
  <c r="V34" i="11" s="1"/>
  <c r="M27" i="11"/>
  <c r="M10" i="4" s="1"/>
  <c r="V21" i="18"/>
  <c r="U26" i="4"/>
  <c r="L15" i="18"/>
  <c r="V15" i="18" s="1"/>
  <c r="L15" i="19"/>
  <c r="U15" i="19" s="1"/>
  <c r="W25" i="11"/>
  <c r="N24" i="11"/>
  <c r="W31" i="11" s="1"/>
  <c r="N22" i="11"/>
  <c r="W29" i="11" s="1"/>
  <c r="N21" i="11"/>
  <c r="W28" i="11" s="1"/>
  <c r="N25" i="11"/>
  <c r="W32" i="11" s="1"/>
  <c r="N26" i="11"/>
  <c r="W33" i="11" s="1"/>
  <c r="N23" i="11"/>
  <c r="W30" i="11" s="1"/>
  <c r="N20" i="11"/>
  <c r="M30" i="18"/>
  <c r="W30" i="18" s="1"/>
  <c r="L65" i="12"/>
  <c r="L29" i="12" s="1"/>
  <c r="U30" i="12" s="1"/>
  <c r="T64" i="12"/>
  <c r="M52" i="12"/>
  <c r="M21" i="18" s="1"/>
  <c r="M23" i="18" s="1"/>
  <c r="W23" i="18" s="1"/>
  <c r="I35" i="23"/>
  <c r="I36" i="23" s="1"/>
  <c r="I16" i="18" s="1"/>
  <c r="T16" i="18" s="1"/>
  <c r="C17" i="24" s="1"/>
  <c r="I12" i="19"/>
  <c r="S11" i="19"/>
  <c r="S12" i="19" s="1"/>
  <c r="I42" i="23"/>
  <c r="M52" i="10"/>
  <c r="M19" i="23" s="1"/>
  <c r="V76" i="10"/>
  <c r="V79" i="10" s="1"/>
  <c r="W75" i="10"/>
  <c r="N51" i="10"/>
  <c r="W78" i="10" s="1"/>
  <c r="N49" i="10"/>
  <c r="N50" i="10"/>
  <c r="W77" i="10" s="1"/>
  <c r="E24" i="19"/>
  <c r="R22" i="19"/>
  <c r="E11" i="22"/>
  <c r="R11" i="22" s="1"/>
  <c r="I21" i="20"/>
  <c r="R21" i="20" s="1"/>
  <c r="V52" i="12"/>
  <c r="F16" i="24" s="1"/>
  <c r="L28" i="23"/>
  <c r="L40" i="23" s="1"/>
  <c r="L9" i="4"/>
  <c r="L32" i="23"/>
  <c r="T25" i="4"/>
  <c r="K11" i="19"/>
  <c r="K14" i="18"/>
  <c r="U14" i="18" s="1"/>
  <c r="K40" i="23"/>
  <c r="K15" i="20"/>
  <c r="S15" i="20" s="1"/>
  <c r="K29" i="23"/>
  <c r="K33" i="23"/>
  <c r="K41" i="23"/>
  <c r="K20" i="20"/>
  <c r="S24" i="12"/>
  <c r="L63" i="12"/>
  <c r="L60" i="12"/>
  <c r="N32" i="17"/>
  <c r="N29" i="17"/>
  <c r="N35" i="17"/>
  <c r="N33" i="17"/>
  <c r="N34" i="17"/>
  <c r="N31" i="17"/>
  <c r="N30" i="17"/>
  <c r="N36" i="17"/>
  <c r="U19" i="20"/>
  <c r="F24" i="19"/>
  <c r="F11" i="22"/>
  <c r="K59" i="12"/>
  <c r="D12" i="22"/>
  <c r="U68" i="12"/>
  <c r="M67" i="12"/>
  <c r="L31" i="12"/>
  <c r="U32" i="12" s="1"/>
  <c r="P71" i="22"/>
  <c r="Q71" i="22"/>
  <c r="K61" i="12"/>
  <c r="D18" i="18"/>
  <c r="D25" i="18" s="1"/>
  <c r="D26" i="18" s="1"/>
  <c r="M37" i="17"/>
  <c r="M29" i="18" s="1"/>
  <c r="H18" i="19"/>
  <c r="H13" i="20"/>
  <c r="H12" i="4"/>
  <c r="M33" i="12"/>
  <c r="N69" i="12"/>
  <c r="N33" i="12" s="1"/>
  <c r="D44" i="22"/>
  <c r="B36" i="18"/>
  <c r="C27" i="25" s="1"/>
  <c r="K28" i="12"/>
  <c r="T29" i="12" s="1"/>
  <c r="T65" i="12"/>
  <c r="U69" i="12"/>
  <c r="L32" i="12"/>
  <c r="U33" i="12" s="1"/>
  <c r="M68" i="12"/>
  <c r="N19" i="20"/>
  <c r="N30" i="18"/>
  <c r="X30" i="18" s="1"/>
  <c r="G11" i="22"/>
  <c r="G24" i="19"/>
  <c r="G17" i="18" s="1"/>
  <c r="G18" i="18" s="1"/>
  <c r="I26" i="12"/>
  <c r="S27" i="12" s="1"/>
  <c r="S63" i="12"/>
  <c r="S70" i="12" s="1"/>
  <c r="L30" i="12"/>
  <c r="U31" i="12" s="1"/>
  <c r="U67" i="12"/>
  <c r="V29" i="18"/>
  <c r="L32" i="18"/>
  <c r="V32" i="18" s="1"/>
  <c r="W25" i="2"/>
  <c r="W28" i="2" s="1"/>
  <c r="N45" i="2"/>
  <c r="W42" i="12"/>
  <c r="W52" i="12" s="1"/>
  <c r="G16" i="24" s="1"/>
  <c r="N52" i="12"/>
  <c r="N21" i="18" s="1"/>
  <c r="U66" i="12" l="1"/>
  <c r="W21" i="18"/>
  <c r="W27" i="11"/>
  <c r="W34" i="11" s="1"/>
  <c r="N27" i="11"/>
  <c r="N10" i="4" s="1"/>
  <c r="M15" i="19"/>
  <c r="V15" i="19" s="1"/>
  <c r="M15" i="18"/>
  <c r="W15" i="18" s="1"/>
  <c r="V26" i="4"/>
  <c r="M65" i="12"/>
  <c r="V66" i="12" s="1"/>
  <c r="K42" i="23"/>
  <c r="S13" i="19"/>
  <c r="S16" i="19"/>
  <c r="L29" i="23"/>
  <c r="L15" i="20"/>
  <c r="T15" i="20" s="1"/>
  <c r="W76" i="10"/>
  <c r="W79" i="10" s="1"/>
  <c r="N52" i="10"/>
  <c r="N19" i="23" s="1"/>
  <c r="K62" i="12"/>
  <c r="K26" i="12" s="1"/>
  <c r="T27" i="12" s="1"/>
  <c r="M32" i="23"/>
  <c r="M28" i="23"/>
  <c r="M40" i="23" s="1"/>
  <c r="M9" i="4"/>
  <c r="L41" i="23"/>
  <c r="L42" i="23" s="1"/>
  <c r="L33" i="23"/>
  <c r="L20" i="20"/>
  <c r="E17" i="18"/>
  <c r="R24" i="19"/>
  <c r="B14" i="24" s="1"/>
  <c r="B19" i="24" s="1"/>
  <c r="B21" i="24" s="1"/>
  <c r="E25" i="19"/>
  <c r="S20" i="20"/>
  <c r="K21" i="20"/>
  <c r="S21" i="20" s="1"/>
  <c r="T11" i="19"/>
  <c r="K12" i="19"/>
  <c r="L64" i="12"/>
  <c r="L28" i="12" s="1"/>
  <c r="U29" i="12" s="1"/>
  <c r="K35" i="23"/>
  <c r="L14" i="18"/>
  <c r="V14" i="18" s="1"/>
  <c r="U25" i="4"/>
  <c r="L11" i="19"/>
  <c r="I13" i="19"/>
  <c r="I8" i="22"/>
  <c r="S8" i="22" s="1"/>
  <c r="I16" i="19"/>
  <c r="G34" i="18"/>
  <c r="L44" i="22" s="1"/>
  <c r="L48" i="22" s="1"/>
  <c r="G25" i="18"/>
  <c r="G25" i="19"/>
  <c r="G12" i="22" s="1"/>
  <c r="M66" i="12"/>
  <c r="V19" i="20"/>
  <c r="D48" i="22"/>
  <c r="D45" i="22"/>
  <c r="D34" i="18"/>
  <c r="N23" i="18"/>
  <c r="X21" i="18"/>
  <c r="M32" i="12"/>
  <c r="V33" i="12" s="1"/>
  <c r="N68" i="12"/>
  <c r="V69" i="12"/>
  <c r="H19" i="19"/>
  <c r="K25" i="12"/>
  <c r="T26" i="12" s="1"/>
  <c r="T62" i="12"/>
  <c r="M31" i="12"/>
  <c r="V32" i="12" s="1"/>
  <c r="V68" i="12"/>
  <c r="N67" i="12"/>
  <c r="F17" i="18"/>
  <c r="U61" i="12"/>
  <c r="L24" i="12"/>
  <c r="U25" i="12" s="1"/>
  <c r="M32" i="18"/>
  <c r="W32" i="18" s="1"/>
  <c r="W29" i="18"/>
  <c r="K23" i="12"/>
  <c r="L59" i="12" s="1"/>
  <c r="T60" i="12"/>
  <c r="F25" i="19"/>
  <c r="S34" i="12"/>
  <c r="B11" i="20"/>
  <c r="C10" i="18"/>
  <c r="C36" i="18" s="1"/>
  <c r="D27" i="25" s="1"/>
  <c r="E72" i="22"/>
  <c r="N37" i="17"/>
  <c r="N29" i="18" s="1"/>
  <c r="U64" i="12"/>
  <c r="L27" i="12"/>
  <c r="U28" i="12" s="1"/>
  <c r="I34" i="12"/>
  <c r="I11" i="4" s="1"/>
  <c r="M29" i="12" l="1"/>
  <c r="V30" i="12" s="1"/>
  <c r="N15" i="19"/>
  <c r="W15" i="19" s="1"/>
  <c r="W26" i="4"/>
  <c r="N15" i="18"/>
  <c r="X15" i="18" s="1"/>
  <c r="K70" i="12"/>
  <c r="K12" i="20" s="1"/>
  <c r="S12" i="20" s="1"/>
  <c r="T63" i="12"/>
  <c r="T70" i="12" s="1"/>
  <c r="M64" i="12"/>
  <c r="V65" i="12" s="1"/>
  <c r="U65" i="12"/>
  <c r="M33" i="23"/>
  <c r="M20" i="20"/>
  <c r="M41" i="23"/>
  <c r="M42" i="23" s="1"/>
  <c r="K36" i="23"/>
  <c r="K16" i="18" s="1"/>
  <c r="U16" i="18" s="1"/>
  <c r="D17" i="24" s="1"/>
  <c r="T20" i="20"/>
  <c r="L21" i="20"/>
  <c r="T21" i="20" s="1"/>
  <c r="E18" i="18"/>
  <c r="S17" i="18"/>
  <c r="I9" i="22"/>
  <c r="S9" i="22" s="1"/>
  <c r="K8" i="22"/>
  <c r="T8" i="22" s="1"/>
  <c r="K16" i="19"/>
  <c r="K13" i="19"/>
  <c r="T13" i="19" s="1"/>
  <c r="T12" i="19"/>
  <c r="N9" i="4"/>
  <c r="N28" i="23"/>
  <c r="N40" i="23" s="1"/>
  <c r="N32" i="23"/>
  <c r="M63" i="12"/>
  <c r="V64" i="12" s="1"/>
  <c r="L62" i="12"/>
  <c r="U63" i="12" s="1"/>
  <c r="L12" i="19"/>
  <c r="U11" i="19"/>
  <c r="M11" i="19"/>
  <c r="M14" i="18"/>
  <c r="W14" i="18" s="1"/>
  <c r="V25" i="4"/>
  <c r="L61" i="12"/>
  <c r="E12" i="22"/>
  <c r="R12" i="22" s="1"/>
  <c r="R25" i="19"/>
  <c r="M29" i="23"/>
  <c r="M15" i="20"/>
  <c r="U15" i="20" s="1"/>
  <c r="L35" i="23"/>
  <c r="L36" i="23" s="1"/>
  <c r="L16" i="18" s="1"/>
  <c r="V16" i="18" s="1"/>
  <c r="E17" i="24" s="1"/>
  <c r="X23" i="18"/>
  <c r="F12" i="22"/>
  <c r="T24" i="12"/>
  <c r="T34" i="12" s="1"/>
  <c r="K34" i="12"/>
  <c r="K11" i="4" s="1"/>
  <c r="W68" i="12"/>
  <c r="N31" i="12"/>
  <c r="W32" i="12" s="1"/>
  <c r="W69" i="12"/>
  <c r="N32" i="12"/>
  <c r="W33" i="12" s="1"/>
  <c r="F72" i="22"/>
  <c r="D10" i="18"/>
  <c r="D36" i="18" s="1"/>
  <c r="E27" i="25" s="1"/>
  <c r="C11" i="20"/>
  <c r="C16" i="20" s="1"/>
  <c r="C22" i="20" s="1"/>
  <c r="C23" i="20" s="1"/>
  <c r="D49" i="22"/>
  <c r="E45" i="22"/>
  <c r="E49" i="22" s="1"/>
  <c r="I13" i="20"/>
  <c r="R13" i="20" s="1"/>
  <c r="I18" i="19"/>
  <c r="I12" i="4"/>
  <c r="S27" i="4"/>
  <c r="S28" i="4" s="1"/>
  <c r="B16" i="20"/>
  <c r="L23" i="12"/>
  <c r="M59" i="12" s="1"/>
  <c r="U60" i="12"/>
  <c r="H22" i="19"/>
  <c r="H10" i="22"/>
  <c r="N32" i="18"/>
  <c r="X32" i="18" s="1"/>
  <c r="X29" i="18"/>
  <c r="M60" i="12"/>
  <c r="F18" i="18"/>
  <c r="F25" i="18" s="1"/>
  <c r="F44" i="22"/>
  <c r="N65" i="12"/>
  <c r="V67" i="12"/>
  <c r="M30" i="12"/>
  <c r="V31" i="12" s="1"/>
  <c r="L26" i="12" l="1"/>
  <c r="U27" i="12" s="1"/>
  <c r="M28" i="12"/>
  <c r="V29" i="12" s="1"/>
  <c r="M35" i="23"/>
  <c r="M36" i="23" s="1"/>
  <c r="M16" i="18" s="1"/>
  <c r="W16" i="18" s="1"/>
  <c r="F17" i="24" s="1"/>
  <c r="L25" i="12"/>
  <c r="U26" i="12" s="1"/>
  <c r="M27" i="12"/>
  <c r="V28" i="12" s="1"/>
  <c r="E34" i="18"/>
  <c r="E25" i="18"/>
  <c r="E26" i="18" s="1"/>
  <c r="F26" i="18" s="1"/>
  <c r="G26" i="18" s="1"/>
  <c r="S18" i="18"/>
  <c r="S25" i="18" s="1"/>
  <c r="U62" i="12"/>
  <c r="U70" i="12" s="1"/>
  <c r="L8" i="22"/>
  <c r="U8" i="22" s="1"/>
  <c r="U12" i="19"/>
  <c r="L16" i="19"/>
  <c r="L13" i="19"/>
  <c r="U13" i="19" s="1"/>
  <c r="K9" i="22"/>
  <c r="T9" i="22" s="1"/>
  <c r="T16" i="19"/>
  <c r="L70" i="12"/>
  <c r="L12" i="20" s="1"/>
  <c r="T12" i="20" s="1"/>
  <c r="N33" i="23"/>
  <c r="N41" i="23"/>
  <c r="N42" i="23" s="1"/>
  <c r="N20" i="20"/>
  <c r="N15" i="20"/>
  <c r="V15" i="20" s="1"/>
  <c r="N29" i="23"/>
  <c r="U20" i="20"/>
  <c r="M21" i="20"/>
  <c r="U21" i="20" s="1"/>
  <c r="N66" i="12"/>
  <c r="W67" i="12" s="1"/>
  <c r="M12" i="19"/>
  <c r="V11" i="19"/>
  <c r="N11" i="19"/>
  <c r="N14" i="18"/>
  <c r="X14" i="18" s="1"/>
  <c r="W25" i="4"/>
  <c r="F45" i="22"/>
  <c r="F48" i="22"/>
  <c r="B22" i="20"/>
  <c r="B23" i="20" s="1"/>
  <c r="D11" i="20"/>
  <c r="G72" i="22"/>
  <c r="E10" i="18"/>
  <c r="K13" i="20"/>
  <c r="S13" i="20" s="1"/>
  <c r="K18" i="19"/>
  <c r="T27" i="4"/>
  <c r="T28" i="4" s="1"/>
  <c r="K12" i="4"/>
  <c r="F34" i="18"/>
  <c r="N64" i="12"/>
  <c r="W66" i="12"/>
  <c r="N29" i="12"/>
  <c r="W30" i="12" s="1"/>
  <c r="U24" i="12"/>
  <c r="M62" i="12"/>
  <c r="M24" i="12"/>
  <c r="V25" i="12" s="1"/>
  <c r="V61" i="12"/>
  <c r="H11" i="22"/>
  <c r="H24" i="19"/>
  <c r="V60" i="12"/>
  <c r="M23" i="12"/>
  <c r="N59" i="12" s="1"/>
  <c r="I19" i="19"/>
  <c r="S18" i="19"/>
  <c r="N30" i="12" l="1"/>
  <c r="W31" i="12" s="1"/>
  <c r="L34" i="12"/>
  <c r="L11" i="4" s="1"/>
  <c r="U27" i="4" s="1"/>
  <c r="U28" i="4" s="1"/>
  <c r="C15" i="24"/>
  <c r="S19" i="19"/>
  <c r="C13" i="24" s="1"/>
  <c r="M61" i="12"/>
  <c r="U34" i="12"/>
  <c r="N63" i="12"/>
  <c r="N35" i="23"/>
  <c r="N36" i="23" s="1"/>
  <c r="N16" i="18" s="1"/>
  <c r="X16" i="18" s="1"/>
  <c r="G17" i="24" s="1"/>
  <c r="G44" i="22"/>
  <c r="G48" i="22" s="1"/>
  <c r="S34" i="18"/>
  <c r="N12" i="19"/>
  <c r="W11" i="19"/>
  <c r="C4" i="25"/>
  <c r="S26" i="18"/>
  <c r="C6" i="25" s="1"/>
  <c r="M13" i="19"/>
  <c r="V13" i="19" s="1"/>
  <c r="V12" i="19"/>
  <c r="M16" i="19"/>
  <c r="M8" i="22"/>
  <c r="V8" i="22" s="1"/>
  <c r="U16" i="19"/>
  <c r="L9" i="22"/>
  <c r="U9" i="22" s="1"/>
  <c r="V20" i="20"/>
  <c r="N21" i="20"/>
  <c r="V21" i="20" s="1"/>
  <c r="N60" i="12"/>
  <c r="N24" i="12" s="1"/>
  <c r="W25" i="12" s="1"/>
  <c r="E36" i="18"/>
  <c r="F27" i="25" s="1"/>
  <c r="K44" i="22"/>
  <c r="T18" i="19"/>
  <c r="D15" i="24" s="1"/>
  <c r="K19" i="19"/>
  <c r="D16" i="20"/>
  <c r="I22" i="19"/>
  <c r="I10" i="22"/>
  <c r="S10" i="22" s="1"/>
  <c r="H17" i="18"/>
  <c r="N28" i="12"/>
  <c r="W29" i="12" s="1"/>
  <c r="W65" i="12"/>
  <c r="N23" i="12"/>
  <c r="W60" i="12"/>
  <c r="V24" i="12"/>
  <c r="H25" i="19"/>
  <c r="H72" i="22"/>
  <c r="M26" i="12"/>
  <c r="V27" i="12" s="1"/>
  <c r="V63" i="12"/>
  <c r="F49" i="22"/>
  <c r="L12" i="4" l="1"/>
  <c r="L13" i="20"/>
  <c r="T13" i="20" s="1"/>
  <c r="L18" i="19"/>
  <c r="U18" i="19" s="1"/>
  <c r="E15" i="24" s="1"/>
  <c r="G45" i="22"/>
  <c r="H45" i="22" s="1"/>
  <c r="I45" i="22" s="1"/>
  <c r="K45" i="22" s="1"/>
  <c r="W64" i="12"/>
  <c r="N27" i="12"/>
  <c r="W28" i="12" s="1"/>
  <c r="M25" i="12"/>
  <c r="M34" i="12" s="1"/>
  <c r="M11" i="4" s="1"/>
  <c r="V62" i="12"/>
  <c r="V70" i="12" s="1"/>
  <c r="F10" i="18"/>
  <c r="F36" i="18" s="1"/>
  <c r="G27" i="25" s="1"/>
  <c r="M70" i="12"/>
  <c r="M12" i="20" s="1"/>
  <c r="U12" i="20" s="1"/>
  <c r="S36" i="18"/>
  <c r="E11" i="20"/>
  <c r="W12" i="19"/>
  <c r="N8" i="22"/>
  <c r="W8" i="22" s="1"/>
  <c r="N16" i="19"/>
  <c r="N13" i="19"/>
  <c r="W13" i="19" s="1"/>
  <c r="W61" i="12"/>
  <c r="V16" i="19"/>
  <c r="M9" i="22"/>
  <c r="V9" i="22" s="1"/>
  <c r="G49" i="22"/>
  <c r="D22" i="20"/>
  <c r="H12" i="22"/>
  <c r="T19" i="19"/>
  <c r="D13" i="24" s="1"/>
  <c r="K10" i="22"/>
  <c r="T10" i="22" s="1"/>
  <c r="K22" i="19"/>
  <c r="K48" i="22"/>
  <c r="W24" i="12"/>
  <c r="I24" i="19"/>
  <c r="I11" i="22"/>
  <c r="S11" i="22" s="1"/>
  <c r="S22" i="19"/>
  <c r="N62" i="12"/>
  <c r="H18" i="18"/>
  <c r="H25" i="18" s="1"/>
  <c r="H26" i="18" s="1"/>
  <c r="L19" i="19" l="1"/>
  <c r="L10" i="22" s="1"/>
  <c r="U10" i="22" s="1"/>
  <c r="E16" i="20"/>
  <c r="Q11" i="20"/>
  <c r="D23" i="20"/>
  <c r="T10" i="18"/>
  <c r="V26" i="12"/>
  <c r="V34" i="12" s="1"/>
  <c r="N61" i="12"/>
  <c r="N70" i="12" s="1"/>
  <c r="N12" i="20" s="1"/>
  <c r="V12" i="20" s="1"/>
  <c r="W16" i="19"/>
  <c r="N9" i="22"/>
  <c r="W9" i="22" s="1"/>
  <c r="G10" i="18"/>
  <c r="G36" i="18" s="1"/>
  <c r="H27" i="25" s="1"/>
  <c r="I72" i="22"/>
  <c r="F11" i="20"/>
  <c r="M13" i="20"/>
  <c r="U13" i="20" s="1"/>
  <c r="M18" i="19"/>
  <c r="V27" i="4"/>
  <c r="V28" i="4" s="1"/>
  <c r="M12" i="4"/>
  <c r="H34" i="18"/>
  <c r="I17" i="18"/>
  <c r="S24" i="19"/>
  <c r="C14" i="24" s="1"/>
  <c r="C19" i="24" s="1"/>
  <c r="C21" i="24" s="1"/>
  <c r="W63" i="12"/>
  <c r="N26" i="12"/>
  <c r="K49" i="22"/>
  <c r="L45" i="22"/>
  <c r="L49" i="22" s="1"/>
  <c r="I25" i="19"/>
  <c r="K11" i="22"/>
  <c r="T11" i="22" s="1"/>
  <c r="T22" i="19"/>
  <c r="K24" i="19"/>
  <c r="K25" i="19" s="1"/>
  <c r="U19" i="19" l="1"/>
  <c r="E13" i="24" s="1"/>
  <c r="L22" i="19"/>
  <c r="L24" i="19" s="1"/>
  <c r="E22" i="20"/>
  <c r="Q16" i="20"/>
  <c r="N25" i="12"/>
  <c r="W26" i="12" s="1"/>
  <c r="W62" i="12"/>
  <c r="W70" i="12" s="1"/>
  <c r="T25" i="19"/>
  <c r="K12" i="22"/>
  <c r="T12" i="22" s="1"/>
  <c r="I18" i="18"/>
  <c r="I25" i="18" s="1"/>
  <c r="I26" i="18" s="1"/>
  <c r="T17" i="18"/>
  <c r="F16" i="20"/>
  <c r="K17" i="18"/>
  <c r="T24" i="19"/>
  <c r="D14" i="24" s="1"/>
  <c r="D19" i="24" s="1"/>
  <c r="D21" i="24" s="1"/>
  <c r="I12" i="22"/>
  <c r="S12" i="22" s="1"/>
  <c r="S25" i="19"/>
  <c r="W27" i="12"/>
  <c r="N34" i="12"/>
  <c r="N11" i="4" s="1"/>
  <c r="L11" i="22"/>
  <c r="U11" i="22" s="1"/>
  <c r="U22" i="19"/>
  <c r="M44" i="22"/>
  <c r="V18" i="19"/>
  <c r="F15" i="24" s="1"/>
  <c r="M19" i="19"/>
  <c r="G11" i="20"/>
  <c r="G16" i="20" s="1"/>
  <c r="G22" i="20" s="1"/>
  <c r="G23" i="20" s="1"/>
  <c r="H10" i="18"/>
  <c r="H36" i="18" s="1"/>
  <c r="I27" i="25" s="1"/>
  <c r="K72" i="22"/>
  <c r="W34" i="12" l="1"/>
  <c r="E23" i="20"/>
  <c r="Q22" i="20"/>
  <c r="Q23" i="20" s="1"/>
  <c r="U24" i="19"/>
  <c r="E14" i="24" s="1"/>
  <c r="E19" i="24" s="1"/>
  <c r="E21" i="24" s="1"/>
  <c r="L17" i="18"/>
  <c r="F22" i="20"/>
  <c r="F23" i="20" s="1"/>
  <c r="M10" i="22"/>
  <c r="V10" i="22" s="1"/>
  <c r="V19" i="19"/>
  <c r="F13" i="24" s="1"/>
  <c r="M22" i="19"/>
  <c r="M48" i="22"/>
  <c r="M45" i="22"/>
  <c r="M49" i="22" s="1"/>
  <c r="L25" i="19"/>
  <c r="W27" i="4"/>
  <c r="W28" i="4" s="1"/>
  <c r="N13" i="20"/>
  <c r="V13" i="20" s="1"/>
  <c r="N18" i="19"/>
  <c r="N12" i="4"/>
  <c r="I10" i="18"/>
  <c r="L72" i="22"/>
  <c r="H11" i="20"/>
  <c r="H16" i="20" s="1"/>
  <c r="H22" i="20" s="1"/>
  <c r="H23" i="20" s="1"/>
  <c r="U17" i="18"/>
  <c r="K18" i="18"/>
  <c r="K25" i="18" s="1"/>
  <c r="K26" i="18" s="1"/>
  <c r="I34" i="18"/>
  <c r="T18" i="18"/>
  <c r="T25" i="18" s="1"/>
  <c r="D4" i="25" s="1"/>
  <c r="T26" i="18" l="1"/>
  <c r="D6" i="25" s="1"/>
  <c r="K34" i="18"/>
  <c r="U18" i="18"/>
  <c r="U25" i="18" s="1"/>
  <c r="E4" i="25" s="1"/>
  <c r="L12" i="22"/>
  <c r="U12" i="22" s="1"/>
  <c r="U25" i="19"/>
  <c r="M11" i="22"/>
  <c r="V11" i="22" s="1"/>
  <c r="M24" i="19"/>
  <c r="M25" i="19" s="1"/>
  <c r="V22" i="19"/>
  <c r="W18" i="19"/>
  <c r="G15" i="24" s="1"/>
  <c r="N19" i="19"/>
  <c r="V17" i="18"/>
  <c r="L18" i="18"/>
  <c r="L25" i="18" s="1"/>
  <c r="L26" i="18" s="1"/>
  <c r="N44" i="22"/>
  <c r="T34" i="18"/>
  <c r="I36" i="18"/>
  <c r="J27" i="25" s="1"/>
  <c r="U26" i="18" l="1"/>
  <c r="E6" i="25" s="1"/>
  <c r="U34" i="18"/>
  <c r="O44" i="22"/>
  <c r="N45" i="22"/>
  <c r="N49" i="22" s="1"/>
  <c r="N48" i="22"/>
  <c r="M12" i="22"/>
  <c r="V12" i="22" s="1"/>
  <c r="V25" i="19"/>
  <c r="I11" i="20"/>
  <c r="R11" i="20" s="1"/>
  <c r="T36" i="18"/>
  <c r="K10" i="18"/>
  <c r="M72" i="22"/>
  <c r="L34" i="18"/>
  <c r="V18" i="18"/>
  <c r="V25" i="18" s="1"/>
  <c r="F4" i="25" s="1"/>
  <c r="N10" i="22"/>
  <c r="W10" i="22" s="1"/>
  <c r="W19" i="19"/>
  <c r="G13" i="24" s="1"/>
  <c r="N22" i="19"/>
  <c r="V24" i="19"/>
  <c r="F14" i="24" s="1"/>
  <c r="F19" i="24" s="1"/>
  <c r="F21" i="24" s="1"/>
  <c r="M17" i="18"/>
  <c r="V26" i="18" l="1"/>
  <c r="F6" i="25" s="1"/>
  <c r="I16" i="20"/>
  <c r="R16" i="20" s="1"/>
  <c r="W17" i="18"/>
  <c r="M18" i="18"/>
  <c r="M25" i="18" s="1"/>
  <c r="M26" i="18" s="1"/>
  <c r="K36" i="18"/>
  <c r="U10" i="18"/>
  <c r="O45" i="22"/>
  <c r="O49" i="22" s="1"/>
  <c r="O48" i="22"/>
  <c r="N24" i="19"/>
  <c r="N25" i="19" s="1"/>
  <c r="N11" i="22"/>
  <c r="W11" i="22" s="1"/>
  <c r="W22" i="19"/>
  <c r="P44" i="22"/>
  <c r="V34" i="18"/>
  <c r="N12" i="22" l="1"/>
  <c r="W12" i="22" s="1"/>
  <c r="W25" i="19"/>
  <c r="P48" i="22"/>
  <c r="P45" i="22"/>
  <c r="P49" i="22" s="1"/>
  <c r="W24" i="19"/>
  <c r="G14" i="24" s="1"/>
  <c r="G19" i="24" s="1"/>
  <c r="N17" i="18"/>
  <c r="U36" i="18"/>
  <c r="L10" i="18"/>
  <c r="K11" i="20"/>
  <c r="N72" i="22"/>
  <c r="I22" i="20"/>
  <c r="R22" i="20" s="1"/>
  <c r="M34" i="18"/>
  <c r="W18" i="18"/>
  <c r="W25" i="18" s="1"/>
  <c r="G4" i="25" s="1"/>
  <c r="R23" i="20" l="1"/>
  <c r="I23" i="20"/>
  <c r="H19" i="24"/>
  <c r="G21" i="24"/>
  <c r="W26" i="18"/>
  <c r="G6" i="25" s="1"/>
  <c r="L36" i="18"/>
  <c r="V10" i="18"/>
  <c r="K16" i="20"/>
  <c r="S11" i="20"/>
  <c r="Q44" i="22"/>
  <c r="W34" i="18"/>
  <c r="X17" i="18"/>
  <c r="N18" i="18"/>
  <c r="N25" i="18" s="1"/>
  <c r="N26" i="18" s="1"/>
  <c r="B22" i="24" l="1"/>
  <c r="H21" i="24"/>
  <c r="S16" i="20"/>
  <c r="K22" i="20"/>
  <c r="N34" i="18"/>
  <c r="X18" i="18"/>
  <c r="X25" i="18" s="1"/>
  <c r="H4" i="25" s="1"/>
  <c r="Q48" i="22"/>
  <c r="Q45" i="22"/>
  <c r="Q49" i="22" s="1"/>
  <c r="V36" i="18"/>
  <c r="M10" i="18"/>
  <c r="O72" i="22"/>
  <c r="L11" i="20"/>
  <c r="S22" i="20" l="1"/>
  <c r="S23" i="20" s="1"/>
  <c r="K23" i="20"/>
  <c r="X26" i="18"/>
  <c r="H6" i="25" s="1"/>
  <c r="L16" i="20"/>
  <c r="T11" i="20"/>
  <c r="W10" i="18"/>
  <c r="M36" i="18"/>
  <c r="X34" i="18"/>
  <c r="R44" i="22"/>
  <c r="M11" i="20" l="1"/>
  <c r="W36" i="18"/>
  <c r="P72" i="22"/>
  <c r="N10" i="18"/>
  <c r="R45" i="22"/>
  <c r="R49" i="22" s="1"/>
  <c r="R48" i="22"/>
  <c r="T16" i="20"/>
  <c r="L22" i="20"/>
  <c r="T22" i="20" l="1"/>
  <c r="T23" i="20" s="1"/>
  <c r="L23" i="20"/>
  <c r="X10" i="18"/>
  <c r="N36" i="18"/>
  <c r="M16" i="20"/>
  <c r="U11" i="20"/>
  <c r="N11" i="20" l="1"/>
  <c r="Q72" i="22"/>
  <c r="X36" i="18"/>
  <c r="U16" i="20"/>
  <c r="M22" i="20"/>
  <c r="U22" i="20" l="1"/>
  <c r="U23" i="20" s="1"/>
  <c r="M23" i="20"/>
  <c r="V11" i="20"/>
  <c r="N16" i="20"/>
  <c r="N22" i="20" l="1"/>
  <c r="V16" i="20"/>
  <c r="V22" i="20" l="1"/>
  <c r="V23" i="20" s="1"/>
  <c r="N23" i="20"/>
</calcChain>
</file>

<file path=xl/sharedStrings.xml><?xml version="1.0" encoding="utf-8"?>
<sst xmlns="http://schemas.openxmlformats.org/spreadsheetml/2006/main" count="671" uniqueCount="291">
  <si>
    <t>Key</t>
    <phoneticPr fontId="0" type="noConversion"/>
  </si>
  <si>
    <t>Example</t>
    <phoneticPr fontId="0" type="noConversion"/>
  </si>
  <si>
    <t>Meaning</t>
    <phoneticPr fontId="0" type="noConversion"/>
  </si>
  <si>
    <t>No Fill</t>
    <phoneticPr fontId="0" type="noConversion"/>
  </si>
  <si>
    <t>The user should not enter any information in empty cells</t>
    <phoneticPr fontId="0" type="noConversion"/>
  </si>
  <si>
    <t>All data in cells with no colour fill will be calculated automatically for the user</t>
    <phoneticPr fontId="0" type="noConversion"/>
  </si>
  <si>
    <t>Company Name:</t>
    <phoneticPr fontId="0" type="noConversion"/>
  </si>
  <si>
    <t>Start Date:</t>
  </si>
  <si>
    <t>The model is designed to auto-populate based on the information you provide</t>
  </si>
  <si>
    <t>Use the colour guide to determine which inputs are needed</t>
  </si>
  <si>
    <t>Required numerical inputs</t>
  </si>
  <si>
    <t>Starting Inputs</t>
  </si>
  <si>
    <t>Introduction</t>
  </si>
  <si>
    <t xml:space="preserve">Total </t>
  </si>
  <si>
    <t>Currency, Units:</t>
  </si>
  <si>
    <t>Market Growth Rate</t>
  </si>
  <si>
    <t>Market Size and Sales Assumptions</t>
  </si>
  <si>
    <t>Market 3</t>
  </si>
  <si>
    <t>Notes on assumptions</t>
  </si>
  <si>
    <t>Year of Market Sizing</t>
  </si>
  <si>
    <t>Product Information</t>
  </si>
  <si>
    <t>Product 3</t>
  </si>
  <si>
    <t>Year of estimate</t>
  </si>
  <si>
    <t>Bottom-Up Revenue Projection</t>
  </si>
  <si>
    <t>Top-Down Revenue Projection</t>
  </si>
  <si>
    <t>Assembly</t>
  </si>
  <si>
    <t>Enclosure</t>
  </si>
  <si>
    <t>Travel</t>
  </si>
  <si>
    <t>Administrative</t>
  </si>
  <si>
    <t>Sales and Marketing</t>
  </si>
  <si>
    <t>Expenses Projections</t>
  </si>
  <si>
    <t>Component 1</t>
  </si>
  <si>
    <t>Component 2</t>
  </si>
  <si>
    <t>Component 3</t>
  </si>
  <si>
    <t>Component 4</t>
  </si>
  <si>
    <t>Component 5</t>
  </si>
  <si>
    <t>Component 6</t>
  </si>
  <si>
    <t>Shipping</t>
  </si>
  <si>
    <t>Projected Cost of Good Sold (COGS)</t>
  </si>
  <si>
    <t>Total COGS per unit</t>
  </si>
  <si>
    <t>COGS Projection - Bottom-up</t>
  </si>
  <si>
    <t>COGS Projection - Top-down</t>
  </si>
  <si>
    <t>Expected Gross Margin</t>
  </si>
  <si>
    <t>Operating Expenses</t>
  </si>
  <si>
    <t>Assumptions - Costs and Growth Rates</t>
  </si>
  <si>
    <t>Cost</t>
  </si>
  <si>
    <t>Capital Expenditure</t>
  </si>
  <si>
    <t>Method Choice</t>
  </si>
  <si>
    <t>COGS</t>
  </si>
  <si>
    <t>Bottom-up</t>
  </si>
  <si>
    <t>Top-down</t>
  </si>
  <si>
    <t>Operating Expenses Projection</t>
  </si>
  <si>
    <t>Note: On Expenses tab, the preferred method can be selected from:</t>
  </si>
  <si>
    <t>Revenues</t>
  </si>
  <si>
    <t>Revenues can be projected using either of the following methods:</t>
  </si>
  <si>
    <t>Revenue Projections - Final</t>
  </si>
  <si>
    <t>CAGR of COGS</t>
  </si>
  <si>
    <t>Projected Payroll Costs</t>
  </si>
  <si>
    <t>Gross Pay</t>
  </si>
  <si>
    <t>Employer Taxes</t>
  </si>
  <si>
    <t>Pension</t>
  </si>
  <si>
    <t>Health Insurance</t>
  </si>
  <si>
    <t>Other Benefits</t>
  </si>
  <si>
    <t>Employment Insurance</t>
  </si>
  <si>
    <t>Annual cost per person</t>
  </si>
  <si>
    <t>Assumptions - Number of persons employed</t>
  </si>
  <si>
    <t>Total Payroll Costs</t>
  </si>
  <si>
    <t>CAGR</t>
  </si>
  <si>
    <t>Annual Cost</t>
  </si>
  <si>
    <t>Professional Services</t>
  </si>
  <si>
    <t>Office</t>
  </si>
  <si>
    <t>R&amp;D Expenses</t>
  </si>
  <si>
    <t>Other costs</t>
  </si>
  <si>
    <t>Value at end of ownership</t>
  </si>
  <si>
    <t>Date of Purchase</t>
  </si>
  <si>
    <t>Ownership length (years)</t>
  </si>
  <si>
    <t>Office Furniture</t>
  </si>
  <si>
    <t>Company Vehicle</t>
  </si>
  <si>
    <t>Lab Tools</t>
  </si>
  <si>
    <t>Storage Racks</t>
  </si>
  <si>
    <t>Item description</t>
  </si>
  <si>
    <t>Product Testing Unit</t>
  </si>
  <si>
    <t>Depreciation</t>
  </si>
  <si>
    <t>Other Expenses</t>
  </si>
  <si>
    <t>Corporate Tax Rate</t>
  </si>
  <si>
    <t>Date</t>
  </si>
  <si>
    <t>Notes</t>
  </si>
  <si>
    <t>Financing: Fundraising and Debt</t>
  </si>
  <si>
    <t>Amount Raised</t>
  </si>
  <si>
    <t>Investor 8</t>
  </si>
  <si>
    <t>Debt</t>
  </si>
  <si>
    <t>Loan 1</t>
  </si>
  <si>
    <t>Loan 2</t>
  </si>
  <si>
    <t>Loan 3</t>
  </si>
  <si>
    <t>Loan 4</t>
  </si>
  <si>
    <t>Loan 5</t>
  </si>
  <si>
    <t>Amount of Loan</t>
  </si>
  <si>
    <t>Length of Loan (years)</t>
  </si>
  <si>
    <t>Start date of Loan</t>
  </si>
  <si>
    <t>Monthly payments</t>
  </si>
  <si>
    <t>Assets</t>
  </si>
  <si>
    <t>Cash</t>
  </si>
  <si>
    <t>Fixed Assets</t>
  </si>
  <si>
    <t>Total Assets</t>
  </si>
  <si>
    <t>Liabilities</t>
  </si>
  <si>
    <t>Gross Profit</t>
  </si>
  <si>
    <t>Gross Margin</t>
  </si>
  <si>
    <t>Taxes</t>
  </si>
  <si>
    <t>EBITDA</t>
  </si>
  <si>
    <t>Cash Flow Statement</t>
  </si>
  <si>
    <t>Beginning Cash Balance</t>
  </si>
  <si>
    <t>Investing</t>
  </si>
  <si>
    <t>Operating</t>
  </si>
  <si>
    <t>Total Operating</t>
  </si>
  <si>
    <t>Other Investments</t>
  </si>
  <si>
    <t>Total Investing</t>
  </si>
  <si>
    <t>Financing</t>
  </si>
  <si>
    <t>Equity Funding</t>
  </si>
  <si>
    <t>Interest Payments</t>
  </si>
  <si>
    <t>Change in Debt</t>
  </si>
  <si>
    <t>Total Financing</t>
  </si>
  <si>
    <t>Cash Flow</t>
  </si>
  <si>
    <t>Ending Cash Balance</t>
  </si>
  <si>
    <t>Income Statement</t>
  </si>
  <si>
    <t>Financing Expenses</t>
  </si>
  <si>
    <t>Profit before Tax</t>
  </si>
  <si>
    <t>Operating Profit (EBIT)</t>
  </si>
  <si>
    <t>Profit after Tax (Net Income)</t>
  </si>
  <si>
    <t>Tax on Profit over</t>
  </si>
  <si>
    <t>Balance Sheet</t>
  </si>
  <si>
    <t>Balance Sheet Projections</t>
  </si>
  <si>
    <t>Equity Value</t>
  </si>
  <si>
    <t>per year</t>
  </si>
  <si>
    <t>Additional Charts</t>
  </si>
  <si>
    <t>Measures of Profitability</t>
  </si>
  <si>
    <t>Equity Fundraising</t>
  </si>
  <si>
    <t>Income from Equity Fundraising</t>
  </si>
  <si>
    <t>Round 1</t>
  </si>
  <si>
    <t>Round 2</t>
  </si>
  <si>
    <t>Round 3</t>
  </si>
  <si>
    <t>Round 4</t>
  </si>
  <si>
    <t>Round 5</t>
  </si>
  <si>
    <t>Round 6</t>
  </si>
  <si>
    <t>Round 7</t>
  </si>
  <si>
    <t>Quarterly Projections - 2 years from start</t>
  </si>
  <si>
    <t>Year 3</t>
  </si>
  <si>
    <t>Year 4</t>
  </si>
  <si>
    <t>Year 5</t>
  </si>
  <si>
    <t>Annual Projections (years 3 to 6)</t>
  </si>
  <si>
    <t>Market Penetration (years 3 to 6)</t>
  </si>
  <si>
    <t>Sales Projections</t>
  </si>
  <si>
    <t>Annual Units sold (years 3 to 6)</t>
  </si>
  <si>
    <t>Quarterly Units sold (years 1 and 2)</t>
  </si>
  <si>
    <t>Market penetration (years 1 and 2)</t>
  </si>
  <si>
    <t>Quarterly Projections (years 1 and 2)</t>
  </si>
  <si>
    <t>Quarterly COGS (years 1 and 2)</t>
  </si>
  <si>
    <t>Annual COGS (years 3 to 6)</t>
  </si>
  <si>
    <t>USD</t>
  </si>
  <si>
    <t>Bottom-up Revenue Projection</t>
  </si>
  <si>
    <t>Top-down Assumptions - Expected Gross Margin</t>
  </si>
  <si>
    <t>Count of Employees by Quarter (years 1 and 2)</t>
  </si>
  <si>
    <t>Count of Employees by year (years 3 to 6)</t>
  </si>
  <si>
    <t>Quarterly Payroll Costs (years 1 and 2)</t>
  </si>
  <si>
    <t>Annual Payroll Costs (years 3 to 6)</t>
  </si>
  <si>
    <t>Quarterly Operating Costs (years 1 and 2)</t>
  </si>
  <si>
    <t>Annual Operating Costs (years 3 to 6)</t>
  </si>
  <si>
    <t>Annual CapEx (years 3 to 6)</t>
  </si>
  <si>
    <t>Quarterly CapEx (years 1 and 2)</t>
  </si>
  <si>
    <t>Quarterly Balance Sheet impact from CapEx (years 1 and 2)</t>
  </si>
  <si>
    <t>Annual Balance Sheet impact from CapEx (years 3 to 6)</t>
  </si>
  <si>
    <t>Total Expenses</t>
  </si>
  <si>
    <t>Quarterly Cash Flow (years 1 and 2)</t>
  </si>
  <si>
    <t>Annual Cash Flow (years 3 to 6)</t>
  </si>
  <si>
    <t>Income Statement Projection</t>
  </si>
  <si>
    <t>Cash Flow Statement Projection</t>
  </si>
  <si>
    <t>Revenue Projection</t>
  </si>
  <si>
    <t>Quarterly Balance Sheet (years 1 and 2)</t>
  </si>
  <si>
    <t>Annual Balance Sheet (years 3 to 6)</t>
  </si>
  <si>
    <t>Quarterly Profit (years 1 and 2)</t>
  </si>
  <si>
    <t>Annual Profit (years 3 to 6)</t>
  </si>
  <si>
    <t>Working Capital Balances</t>
  </si>
  <si>
    <t>Cash Flows by Individual Accounts</t>
  </si>
  <si>
    <t>Cost of Good Sold</t>
  </si>
  <si>
    <t>Inventories</t>
  </si>
  <si>
    <t>Accounts Payable</t>
  </si>
  <si>
    <t>Net Working Capital / (Deficit)</t>
  </si>
  <si>
    <t>(Increase) / Decrease in Net Working Capital</t>
  </si>
  <si>
    <t>Inventories (days outstanding)</t>
  </si>
  <si>
    <t>Accounts Payable (days outstanding)</t>
  </si>
  <si>
    <t>Accrued Liabilities (as % of cost of sales)</t>
  </si>
  <si>
    <t>Working Capital Schedule</t>
  </si>
  <si>
    <t>Assumptions</t>
  </si>
  <si>
    <t>COGS method choice</t>
  </si>
  <si>
    <t>Quarterly (years 1 and 2)</t>
  </si>
  <si>
    <t>Annual (years 3 to 6)</t>
  </si>
  <si>
    <t>Accounts Receivable</t>
  </si>
  <si>
    <t>Costs and Revenues (previously calculated)</t>
  </si>
  <si>
    <t>Inputs and Assumptions</t>
  </si>
  <si>
    <t>Total Liabilities</t>
  </si>
  <si>
    <t>Change in Net Working Capital</t>
  </si>
  <si>
    <t>Non-Cash Current Assets</t>
  </si>
  <si>
    <t>Non-Debt Current Liabilities</t>
  </si>
  <si>
    <t>Total</t>
  </si>
  <si>
    <t>WorkHorse</t>
  </si>
  <si>
    <t>Initial Startup costs</t>
  </si>
  <si>
    <t>Year 1</t>
  </si>
  <si>
    <t>Year 2</t>
  </si>
  <si>
    <t>Rate of returns</t>
  </si>
  <si>
    <t>Top-down COGS Estimate</t>
  </si>
  <si>
    <t>Bottom-up COGS Estimate</t>
  </si>
  <si>
    <t>First two years - Quarterly</t>
  </si>
  <si>
    <t>Full Forecast - Annual (6 years)</t>
  </si>
  <si>
    <t>Annual Projections</t>
  </si>
  <si>
    <t>Engineers</t>
  </si>
  <si>
    <t>Sales</t>
  </si>
  <si>
    <t>Admin</t>
  </si>
  <si>
    <t>Finance</t>
  </si>
  <si>
    <t>High Cap Testing Unit</t>
  </si>
  <si>
    <t>Lab Tools pt 2</t>
  </si>
  <si>
    <t>Office Furniture US</t>
  </si>
  <si>
    <t>Company Vehicle US</t>
  </si>
  <si>
    <t>Founders  (first year)</t>
  </si>
  <si>
    <t>For charting</t>
  </si>
  <si>
    <t>Cashflow</t>
  </si>
  <si>
    <t xml:space="preserve"> </t>
  </si>
  <si>
    <t>Discounted Cash Flow Valuation (DCF)</t>
  </si>
  <si>
    <t>Discount Rate</t>
  </si>
  <si>
    <t>Free Cash Flow</t>
  </si>
  <si>
    <t>EBIT</t>
  </si>
  <si>
    <t>Other</t>
  </si>
  <si>
    <t>Depreciation/Amortisation</t>
  </si>
  <si>
    <t>Company Growth Rate</t>
  </si>
  <si>
    <t>Terminal Value</t>
  </si>
  <si>
    <t>Free Cash Flow and Terminal Value</t>
  </si>
  <si>
    <t>Net Present Value</t>
  </si>
  <si>
    <t>Market Size (prior to margin for retailers &amp; distributors)</t>
  </si>
  <si>
    <t>Assumption: Market Penetration by period</t>
  </si>
  <si>
    <t>Market Size (years 3 to 6)</t>
  </si>
  <si>
    <t>Market Size (years 1 and 2)</t>
  </si>
  <si>
    <t>Capital Expenditure - Impact on Income Statement (Depreciation &amp; Amortization)</t>
  </si>
  <si>
    <t>Capital Expenditure - Impact on Cash Flow</t>
  </si>
  <si>
    <t>Quarterly Cash Flow from CapEx (years 1 and 2)</t>
  </si>
  <si>
    <t>Annual Cash Flow from CapEx (years 3 to 6)</t>
  </si>
  <si>
    <t>Year 6</t>
  </si>
  <si>
    <t>Third party margin</t>
  </si>
  <si>
    <t>List price (net of tax)</t>
  </si>
  <si>
    <t>Net price</t>
  </si>
  <si>
    <t>Overall market size</t>
  </si>
  <si>
    <t>Target market size</t>
  </si>
  <si>
    <t>Target segment share</t>
  </si>
  <si>
    <t>Assumption: Third Party Margins</t>
  </si>
  <si>
    <t>Third Party Margins (years 1 and 2)</t>
  </si>
  <si>
    <t>Third Party Margins (years 3 to 6)</t>
  </si>
  <si>
    <t>Other Operating Expenses</t>
  </si>
  <si>
    <t>Depreciation and Amortization</t>
  </si>
  <si>
    <t>Founders</t>
  </si>
  <si>
    <t>Cash flow before financing</t>
  </si>
  <si>
    <t>Cash flows</t>
  </si>
  <si>
    <t>Ending cash balance</t>
  </si>
  <si>
    <t>Before Financing</t>
  </si>
  <si>
    <t>Q1 2020</t>
  </si>
  <si>
    <t>Q2 2020</t>
  </si>
  <si>
    <t>Q3 2020</t>
  </si>
  <si>
    <t>Q4 202</t>
  </si>
  <si>
    <t>Q1 2021</t>
  </si>
  <si>
    <t>Q2 2021</t>
  </si>
  <si>
    <t>Q3 2021</t>
  </si>
  <si>
    <t>Q4 2021</t>
  </si>
  <si>
    <t>Beginning cash balance</t>
  </si>
  <si>
    <t>Q1 2022</t>
  </si>
  <si>
    <t>Welcome to the Entrepreneurial Finance - Financial Projection Model for WorkHorse</t>
  </si>
  <si>
    <t>Starting date</t>
  </si>
  <si>
    <t>Discounted free cash flows</t>
  </si>
  <si>
    <t>Discount factor</t>
  </si>
  <si>
    <t>Capital Expenses</t>
  </si>
  <si>
    <t>Capital Expenditures Value - Impact on Balance Sheet</t>
  </si>
  <si>
    <t>Capital Expenditures - Items, value, and ownership length</t>
  </si>
  <si>
    <t>Operating Expenses (incl. payroll)</t>
  </si>
  <si>
    <t>Equity and Total Liabilities</t>
  </si>
  <si>
    <t>Accounts Receivable (collection period in days)</t>
  </si>
  <si>
    <t>WorkHorse DCF model</t>
  </si>
  <si>
    <t>© 2020 Marco Da Rin and Thomas Hellmann</t>
  </si>
  <si>
    <t>Fundamentals of Entrepreneurial Finance</t>
  </si>
  <si>
    <t>Chapter 03</t>
  </si>
  <si>
    <t>Financial Projections Model - blank version</t>
  </si>
  <si>
    <t>Product 1</t>
  </si>
  <si>
    <t>Product 2</t>
  </si>
  <si>
    <t>Founders (later years)</t>
  </si>
  <si>
    <t>Market 1</t>
  </si>
  <si>
    <t>Market 2</t>
  </si>
  <si>
    <t>Green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</si>
</sst>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&quot;£&quot;#,##0.00;[Red]\-&quot;£&quot;#,##0.00"/>
    <numFmt numFmtId="165" formatCode="_-* #,##0.00_-;\-* #,##0.00_-;_-* &quot;-&quot;??_-;_-@_-"/>
    <numFmt numFmtId="166" formatCode="[$-F800]dddd\,\ mmmm\ dd\,\ yyyy"/>
    <numFmt numFmtId="167" formatCode="_-* #,##0_-;\-* #,##0_-;_-* &quot;-&quot;??_-;_-@_-"/>
    <numFmt numFmtId="168" formatCode="0.0%"/>
    <numFmt numFmtId="169" formatCode="&quot;£&quot;#,##0"/>
    <numFmt numFmtId="170" formatCode="mmm\ yyyy"/>
    <numFmt numFmtId="171" formatCode="#,##0_);\(#,##0\);_-* &quot;-&quot;??_-;_-@_-"/>
    <numFmt numFmtId="172" formatCode="&quot;$&quot;#,##0.0_);\(&quot;$&quot;#,##0.0\)"/>
    <numFmt numFmtId="173" formatCode="0.0000"/>
    <numFmt numFmtId="174" formatCode="[$$-409]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0" tint="-0.249977111117893"/>
      <name val="Calibri"/>
      <family val="2"/>
      <scheme val="minor"/>
    </font>
    <font>
      <sz val="14"/>
      <color theme="8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 tint="-0.499984740745262"/>
      </bottom>
      <diagonal/>
    </border>
    <border>
      <left/>
      <right/>
      <top style="thick">
        <color theme="3" tint="-0.499984740745262"/>
      </top>
      <bottom/>
      <diagonal/>
    </border>
    <border>
      <left/>
      <right/>
      <top style="double">
        <color theme="3" tint="-0.499984740745262"/>
      </top>
      <bottom style="double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/>
      <top/>
      <bottom style="thin">
        <color theme="3" tint="-0.499984740745262"/>
      </bottom>
      <diagonal/>
    </border>
    <border>
      <left/>
      <right style="thick">
        <color theme="3" tint="-0.499984740745262"/>
      </right>
      <top style="thin">
        <color theme="3" tint="-0.499984740745262"/>
      </top>
      <bottom/>
      <diagonal/>
    </border>
    <border>
      <left/>
      <right style="thick">
        <color theme="3" tint="-0.499984740745262"/>
      </right>
      <top/>
      <bottom/>
      <diagonal/>
    </border>
    <border>
      <left/>
      <right style="thick">
        <color theme="3" tint="-0.499984740745262"/>
      </right>
      <top/>
      <bottom style="thick">
        <color theme="3" tint="-0.499984740745262"/>
      </bottom>
      <diagonal/>
    </border>
    <border>
      <left style="thick">
        <color theme="3" tint="-0.499984740745262"/>
      </left>
      <right style="thick">
        <color theme="3" tint="-0.499984740745262"/>
      </right>
      <top/>
      <bottom style="thick">
        <color theme="3" tint="-0.499984740745262"/>
      </bottom>
      <diagonal/>
    </border>
    <border>
      <left style="thick">
        <color theme="3" tint="-0.499984740745262"/>
      </left>
      <right/>
      <top/>
      <bottom style="thin">
        <color theme="3" tint="-0.499984740745262"/>
      </bottom>
      <diagonal/>
    </border>
    <border>
      <left/>
      <right style="thick">
        <color theme="3" tint="-0.499984740745262"/>
      </right>
      <top/>
      <bottom style="thin">
        <color theme="3" tint="-0.499984740745262"/>
      </bottom>
      <diagonal/>
    </border>
    <border>
      <left style="thick">
        <color theme="3" tint="-0.499984740745262"/>
      </left>
      <right/>
      <top style="thin">
        <color theme="3" tint="-0.499984740745262"/>
      </top>
      <bottom/>
      <diagonal/>
    </border>
    <border>
      <left style="thick">
        <color theme="3" tint="-0.499984740745262"/>
      </left>
      <right/>
      <top/>
      <bottom/>
      <diagonal/>
    </border>
    <border>
      <left style="thick">
        <color theme="3" tint="-0.499984740745262"/>
      </left>
      <right/>
      <top/>
      <bottom style="thick">
        <color theme="3" tint="-0.499984740745262"/>
      </bottom>
      <diagonal/>
    </border>
    <border>
      <left style="thick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ck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ck">
        <color theme="3" tint="-0.499984740745262"/>
      </right>
      <top/>
      <bottom/>
      <diagonal/>
    </border>
    <border>
      <left style="thick">
        <color theme="3" tint="-0.499984740745262"/>
      </left>
      <right style="thick">
        <color theme="3" tint="-0.499984740745262"/>
      </right>
      <top/>
      <bottom/>
      <diagonal/>
    </border>
    <border>
      <left style="thick">
        <color theme="3" tint="-0.499984740745262"/>
      </left>
      <right style="thick">
        <color theme="3" tint="-0.499984740745262"/>
      </right>
      <top style="thick">
        <color theme="3" tint="-0.499984740745262"/>
      </top>
      <bottom/>
      <diagonal/>
    </border>
    <border>
      <left style="thick">
        <color theme="3" tint="-0.499984740745262"/>
      </left>
      <right/>
      <top style="thick">
        <color theme="3" tint="-0.499984740745262"/>
      </top>
      <bottom/>
      <diagonal/>
    </border>
    <border>
      <left/>
      <right style="thick">
        <color theme="3" tint="-0.499984740745262"/>
      </right>
      <top style="thick">
        <color theme="3" tint="-0.499984740745262"/>
      </top>
      <bottom/>
      <diagonal/>
    </border>
    <border>
      <left style="thick">
        <color theme="3" tint="-0.499984740745262"/>
      </left>
      <right/>
      <top/>
      <bottom style="thick">
        <color theme="3" tint="-0.24994659260841701"/>
      </bottom>
      <diagonal/>
    </border>
    <border>
      <left/>
      <right style="thick">
        <color theme="3" tint="-0.499984740745262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/>
      <bottom style="thin">
        <color theme="3" tint="-0.499984740745262"/>
      </bottom>
      <diagonal/>
    </border>
    <border>
      <left/>
      <right style="thick">
        <color theme="3" tint="-0.24994659260841701"/>
      </right>
      <top/>
      <bottom style="thin">
        <color theme="3" tint="-0.499984740745262"/>
      </bottom>
      <diagonal/>
    </border>
    <border>
      <left style="thick">
        <color theme="3" tint="-0.24994659260841701"/>
      </left>
      <right/>
      <top style="thin">
        <color theme="3" tint="-0.499984740745262"/>
      </top>
      <bottom/>
      <diagonal/>
    </border>
    <border>
      <left/>
      <right style="thick">
        <color theme="3" tint="-0.24994659260841701"/>
      </right>
      <top style="thin">
        <color theme="3" tint="-0.499984740745262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ck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499984740745262"/>
      </left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 style="thick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 style="thin">
        <color theme="3" tint="-0.499984740745262"/>
      </left>
      <right style="thick">
        <color theme="3" tint="-0.499984740745262"/>
      </right>
      <top/>
      <bottom style="thick">
        <color theme="3" tint="-0.499984740745262"/>
      </bottom>
      <diagonal/>
    </border>
    <border>
      <left style="thick">
        <color theme="3" tint="-0.499984740745262"/>
      </left>
      <right/>
      <top style="thick">
        <color theme="3" tint="-0.499984740745262"/>
      </top>
      <bottom style="thick">
        <color theme="3" tint="-0.499984740745262"/>
      </bottom>
      <diagonal/>
    </border>
    <border>
      <left/>
      <right/>
      <top style="thick">
        <color theme="3" tint="-0.499984740745262"/>
      </top>
      <bottom style="thick">
        <color theme="3" tint="-0.499984740745262"/>
      </bottom>
      <diagonal/>
    </border>
    <border>
      <left/>
      <right style="thick">
        <color theme="3" tint="-0.499984740745262"/>
      </right>
      <top style="thick">
        <color theme="3" tint="-0.499984740745262"/>
      </top>
      <bottom style="thick">
        <color theme="3" tint="-0.499984740745262"/>
      </bottom>
      <diagonal/>
    </border>
    <border>
      <left style="thin">
        <color theme="3" tint="-0.499984740745262"/>
      </left>
      <right style="thick">
        <color theme="3" tint="-0.499984740745262"/>
      </right>
      <top style="thin">
        <color theme="3" tint="-0.499984740745262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Alignment="0" applyProtection="0"/>
  </cellStyleXfs>
  <cellXfs count="38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0" xfId="0" applyFont="1" applyFill="1" applyBorder="1"/>
    <xf numFmtId="0" fontId="0" fillId="2" borderId="5" xfId="0" applyFont="1" applyFill="1" applyBorder="1"/>
    <xf numFmtId="0" fontId="0" fillId="0" borderId="0" xfId="0" applyFont="1" applyFill="1" applyBorder="1"/>
    <xf numFmtId="0" fontId="0" fillId="3" borderId="0" xfId="0" applyFont="1" applyFill="1" applyBorder="1"/>
    <xf numFmtId="0" fontId="0" fillId="3" borderId="5" xfId="0" applyFont="1" applyFill="1" applyBorder="1"/>
    <xf numFmtId="0" fontId="0" fillId="3" borderId="4" xfId="0" applyFont="1" applyFill="1" applyBorder="1"/>
    <xf numFmtId="0" fontId="0" fillId="3" borderId="6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4" borderId="0" xfId="0" applyFont="1" applyFill="1" applyBorder="1"/>
    <xf numFmtId="0" fontId="0" fillId="4" borderId="5" xfId="0" applyFont="1" applyFill="1" applyBorder="1"/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/>
    <xf numFmtId="0" fontId="0" fillId="4" borderId="6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5" fillId="3" borderId="4" xfId="0" applyFont="1" applyFill="1" applyBorder="1"/>
    <xf numFmtId="0" fontId="0" fillId="0" borderId="0" xfId="0" applyBorder="1"/>
    <xf numFmtId="168" fontId="0" fillId="0" borderId="0" xfId="2" applyNumberFormat="1" applyFont="1" applyBorder="1"/>
    <xf numFmtId="0" fontId="2" fillId="0" borderId="0" xfId="0" applyFont="1"/>
    <xf numFmtId="0" fontId="0" fillId="0" borderId="0" xfId="0" applyFill="1" applyBorder="1"/>
    <xf numFmtId="169" fontId="0" fillId="0" borderId="0" xfId="0" applyNumberFormat="1" applyBorder="1"/>
    <xf numFmtId="0" fontId="0" fillId="0" borderId="0" xfId="0" applyNumberFormat="1"/>
    <xf numFmtId="0" fontId="0" fillId="0" borderId="0" xfId="1" applyNumberFormat="1" applyFont="1"/>
    <xf numFmtId="0" fontId="0" fillId="0" borderId="0" xfId="2" applyNumberFormat="1" applyFont="1" applyBorder="1"/>
    <xf numFmtId="0" fontId="0" fillId="0" borderId="0" xfId="2" applyNumberFormat="1" applyFont="1" applyFill="1" applyBorder="1"/>
    <xf numFmtId="0" fontId="6" fillId="0" borderId="0" xfId="0" applyFont="1"/>
    <xf numFmtId="0" fontId="7" fillId="0" borderId="0" xfId="3"/>
    <xf numFmtId="0" fontId="9" fillId="6" borderId="9" xfId="0" applyFont="1" applyFill="1" applyBorder="1"/>
    <xf numFmtId="0" fontId="8" fillId="6" borderId="9" xfId="0" applyFont="1" applyFill="1" applyBorder="1"/>
    <xf numFmtId="0" fontId="8" fillId="6" borderId="9" xfId="0" applyNumberFormat="1" applyFont="1" applyFill="1" applyBorder="1"/>
    <xf numFmtId="168" fontId="7" fillId="0" borderId="0" xfId="3" applyNumberFormat="1"/>
    <xf numFmtId="168" fontId="0" fillId="0" borderId="0" xfId="0" applyNumberFormat="1" applyFill="1" applyBorder="1"/>
    <xf numFmtId="168" fontId="0" fillId="0" borderId="9" xfId="0" applyNumberFormat="1" applyFill="1" applyBorder="1"/>
    <xf numFmtId="0" fontId="10" fillId="0" borderId="0" xfId="0" applyFont="1" applyFill="1" applyBorder="1"/>
    <xf numFmtId="0" fontId="11" fillId="0" borderId="0" xfId="0" applyFont="1" applyBorder="1"/>
    <xf numFmtId="0" fontId="11" fillId="0" borderId="0" xfId="0" applyNumberFormat="1" applyFont="1"/>
    <xf numFmtId="0" fontId="11" fillId="0" borderId="0" xfId="0" applyFont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10" fillId="0" borderId="0" xfId="1" applyNumberFormat="1" applyFont="1" applyFill="1" applyBorder="1"/>
    <xf numFmtId="0" fontId="13" fillId="0" borderId="0" xfId="2" applyNumberFormat="1" applyFont="1" applyBorder="1" applyAlignment="1">
      <alignment horizontal="left"/>
    </xf>
    <xf numFmtId="0" fontId="0" fillId="3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0" fillId="3" borderId="8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 wrapText="1"/>
    </xf>
    <xf numFmtId="170" fontId="8" fillId="5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2" applyNumberFormat="1" applyFont="1" applyBorder="1" applyAlignment="1">
      <alignment horizontal="left"/>
    </xf>
    <xf numFmtId="165" fontId="2" fillId="0" borderId="0" xfId="1" applyNumberFormat="1" applyFont="1" applyBorder="1"/>
    <xf numFmtId="0" fontId="14" fillId="0" borderId="0" xfId="2" applyNumberFormat="1" applyFont="1" applyBorder="1" applyAlignment="1">
      <alignment horizontal="left"/>
    </xf>
    <xf numFmtId="0" fontId="0" fillId="0" borderId="16" xfId="0" applyFill="1" applyBorder="1"/>
    <xf numFmtId="168" fontId="11" fillId="0" borderId="13" xfId="2" applyNumberFormat="1" applyFont="1" applyFill="1" applyBorder="1" applyAlignment="1">
      <alignment horizontal="center"/>
    </xf>
    <xf numFmtId="168" fontId="0" fillId="7" borderId="0" xfId="2" applyNumberFormat="1" applyFont="1" applyFill="1" applyBorder="1"/>
    <xf numFmtId="0" fontId="2" fillId="0" borderId="11" xfId="0" applyFont="1" applyFill="1" applyBorder="1"/>
    <xf numFmtId="0" fontId="2" fillId="0" borderId="4" xfId="0" applyFont="1" applyFill="1" applyBorder="1"/>
    <xf numFmtId="0" fontId="8" fillId="8" borderId="0" xfId="0" applyFont="1" applyFill="1" applyBorder="1" applyAlignment="1">
      <alignment horizontal="center" vertical="center" wrapText="1"/>
    </xf>
    <xf numFmtId="170" fontId="8" fillId="8" borderId="0" xfId="0" applyNumberFormat="1" applyFont="1" applyFill="1" applyBorder="1" applyAlignment="1">
      <alignment horizontal="center"/>
    </xf>
    <xf numFmtId="167" fontId="2" fillId="0" borderId="2" xfId="1" applyNumberFormat="1" applyFont="1" applyBorder="1"/>
    <xf numFmtId="167" fontId="2" fillId="0" borderId="0" xfId="1" applyNumberFormat="1" applyFont="1" applyBorder="1"/>
    <xf numFmtId="168" fontId="11" fillId="0" borderId="13" xfId="2" applyNumberFormat="1" applyFont="1" applyFill="1" applyBorder="1" applyAlignment="1">
      <alignment horizontal="center" vertical="center" wrapText="1"/>
    </xf>
    <xf numFmtId="168" fontId="11" fillId="0" borderId="16" xfId="2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6" xfId="0" applyBorder="1"/>
    <xf numFmtId="168" fontId="0" fillId="0" borderId="17" xfId="0" applyNumberFormat="1" applyFill="1" applyBorder="1"/>
    <xf numFmtId="168" fontId="11" fillId="0" borderId="13" xfId="2" applyNumberFormat="1" applyFont="1" applyFill="1" applyBorder="1" applyAlignment="1">
      <alignment horizontal="center" wrapText="1"/>
    </xf>
    <xf numFmtId="168" fontId="11" fillId="0" borderId="13" xfId="2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37" fontId="0" fillId="0" borderId="0" xfId="1" applyNumberFormat="1" applyFont="1" applyBorder="1"/>
    <xf numFmtId="37" fontId="0" fillId="0" borderId="17" xfId="1" applyNumberFormat="1" applyFont="1" applyBorder="1"/>
    <xf numFmtId="168" fontId="2" fillId="0" borderId="0" xfId="0" applyNumberFormat="1" applyFont="1" applyFill="1" applyBorder="1"/>
    <xf numFmtId="0" fontId="10" fillId="0" borderId="18" xfId="0" applyFont="1" applyFill="1" applyBorder="1"/>
    <xf numFmtId="167" fontId="10" fillId="0" borderId="18" xfId="1" applyNumberFormat="1" applyFont="1" applyFill="1" applyBorder="1"/>
    <xf numFmtId="171" fontId="0" fillId="0" borderId="0" xfId="1" applyNumberFormat="1" applyFont="1" applyBorder="1"/>
    <xf numFmtId="168" fontId="2" fillId="0" borderId="18" xfId="0" applyNumberFormat="1" applyFont="1" applyFill="1" applyBorder="1"/>
    <xf numFmtId="171" fontId="2" fillId="0" borderId="18" xfId="1" applyNumberFormat="1" applyFont="1" applyBorder="1"/>
    <xf numFmtId="168" fontId="0" fillId="0" borderId="19" xfId="0" applyNumberFormat="1" applyFill="1" applyBorder="1"/>
    <xf numFmtId="37" fontId="0" fillId="0" borderId="19" xfId="1" applyNumberFormat="1" applyFont="1" applyBorder="1"/>
    <xf numFmtId="0" fontId="15" fillId="0" borderId="0" xfId="0" applyFont="1" applyBorder="1"/>
    <xf numFmtId="37" fontId="15" fillId="0" borderId="0" xfId="1" applyNumberFormat="1" applyFont="1" applyBorder="1"/>
    <xf numFmtId="0" fontId="0" fillId="0" borderId="0" xfId="0" applyBorder="1" applyAlignment="1">
      <alignment horizontal="left" indent="1"/>
    </xf>
    <xf numFmtId="168" fontId="0" fillId="0" borderId="0" xfId="0" applyNumberFormat="1" applyFill="1" applyBorder="1" applyAlignment="1">
      <alignment horizontal="left" indent="1"/>
    </xf>
    <xf numFmtId="168" fontId="0" fillId="0" borderId="17" xfId="0" applyNumberFormat="1" applyFill="1" applyBorder="1" applyAlignment="1">
      <alignment horizontal="left" indent="1"/>
    </xf>
    <xf numFmtId="0" fontId="16" fillId="0" borderId="0" xfId="0" applyFont="1"/>
    <xf numFmtId="167" fontId="0" fillId="0" borderId="0" xfId="1" applyNumberFormat="1" applyFont="1" applyFill="1" applyBorder="1"/>
    <xf numFmtId="167" fontId="0" fillId="0" borderId="17" xfId="1" applyNumberFormat="1" applyFont="1" applyFill="1" applyBorder="1"/>
    <xf numFmtId="170" fontId="8" fillId="5" borderId="26" xfId="0" applyNumberFormat="1" applyFont="1" applyFill="1" applyBorder="1" applyAlignment="1">
      <alignment horizontal="center"/>
    </xf>
    <xf numFmtId="167" fontId="0" fillId="0" borderId="26" xfId="1" applyNumberFormat="1" applyFont="1" applyFill="1" applyBorder="1"/>
    <xf numFmtId="167" fontId="0" fillId="0" borderId="27" xfId="1" applyNumberFormat="1" applyFont="1" applyFill="1" applyBorder="1"/>
    <xf numFmtId="167" fontId="10" fillId="0" borderId="26" xfId="1" applyNumberFormat="1" applyFont="1" applyFill="1" applyBorder="1"/>
    <xf numFmtId="170" fontId="8" fillId="5" borderId="32" xfId="0" applyNumberFormat="1" applyFont="1" applyFill="1" applyBorder="1" applyAlignment="1">
      <alignment horizontal="center"/>
    </xf>
    <xf numFmtId="167" fontId="0" fillId="0" borderId="32" xfId="1" applyNumberFormat="1" applyFont="1" applyFill="1" applyBorder="1"/>
    <xf numFmtId="167" fontId="0" fillId="0" borderId="33" xfId="1" applyNumberFormat="1" applyFont="1" applyFill="1" applyBorder="1"/>
    <xf numFmtId="170" fontId="8" fillId="5" borderId="36" xfId="0" applyNumberFormat="1" applyFont="1" applyFill="1" applyBorder="1" applyAlignment="1">
      <alignment horizontal="center"/>
    </xf>
    <xf numFmtId="0" fontId="17" fillId="9" borderId="34" xfId="0" applyNumberFormat="1" applyFont="1" applyFill="1" applyBorder="1" applyAlignment="1">
      <alignment horizontal="center"/>
    </xf>
    <xf numFmtId="0" fontId="17" fillId="9" borderId="20" xfId="0" applyNumberFormat="1" applyFont="1" applyFill="1" applyBorder="1" applyAlignment="1">
      <alignment horizontal="center"/>
    </xf>
    <xf numFmtId="0" fontId="17" fillId="9" borderId="35" xfId="0" applyNumberFormat="1" applyFont="1" applyFill="1" applyBorder="1" applyAlignment="1">
      <alignment horizontal="center"/>
    </xf>
    <xf numFmtId="168" fontId="0" fillId="11" borderId="0" xfId="2" applyNumberFormat="1" applyFont="1" applyFill="1" applyBorder="1"/>
    <xf numFmtId="168" fontId="11" fillId="11" borderId="13" xfId="2" applyNumberFormat="1" applyFont="1" applyFill="1" applyBorder="1" applyAlignment="1">
      <alignment horizontal="center"/>
    </xf>
    <xf numFmtId="168" fontId="11" fillId="12" borderId="13" xfId="2" applyNumberFormat="1" applyFont="1" applyFill="1" applyBorder="1" applyAlignment="1">
      <alignment horizontal="center"/>
    </xf>
    <xf numFmtId="167" fontId="0" fillId="12" borderId="4" xfId="1" applyNumberFormat="1" applyFont="1" applyFill="1" applyBorder="1"/>
    <xf numFmtId="0" fontId="4" fillId="11" borderId="0" xfId="0" applyFont="1" applyFill="1" applyBorder="1" applyAlignment="1">
      <alignment horizontal="center"/>
    </xf>
    <xf numFmtId="166" fontId="4" fillId="11" borderId="0" xfId="0" applyNumberFormat="1" applyFont="1" applyFill="1" applyBorder="1" applyAlignment="1">
      <alignment horizontal="center"/>
    </xf>
    <xf numFmtId="167" fontId="10" fillId="0" borderId="39" xfId="1" applyNumberFormat="1" applyFont="1" applyFill="1" applyBorder="1"/>
    <xf numFmtId="167" fontId="10" fillId="0" borderId="40" xfId="1" applyNumberFormat="1" applyFont="1" applyFill="1" applyBorder="1"/>
    <xf numFmtId="167" fontId="0" fillId="12" borderId="0" xfId="1" applyNumberFormat="1" applyFont="1" applyFill="1" applyBorder="1"/>
    <xf numFmtId="167" fontId="0" fillId="0" borderId="32" xfId="1" applyNumberFormat="1" applyFont="1" applyBorder="1"/>
    <xf numFmtId="167" fontId="0" fillId="0" borderId="26" xfId="1" applyNumberFormat="1" applyFont="1" applyBorder="1"/>
    <xf numFmtId="167" fontId="0" fillId="0" borderId="41" xfId="1" applyNumberFormat="1" applyFont="1" applyBorder="1"/>
    <xf numFmtId="167" fontId="0" fillId="0" borderId="42" xfId="1" applyNumberFormat="1" applyFont="1" applyBorder="1"/>
    <xf numFmtId="167" fontId="10" fillId="0" borderId="32" xfId="1" applyNumberFormat="1" applyFont="1" applyFill="1" applyBorder="1"/>
    <xf numFmtId="0" fontId="0" fillId="0" borderId="33" xfId="0" applyBorder="1"/>
    <xf numFmtId="0" fontId="0" fillId="0" borderId="17" xfId="0" applyBorder="1"/>
    <xf numFmtId="0" fontId="0" fillId="0" borderId="27" xfId="0" applyBorder="1"/>
    <xf numFmtId="167" fontId="0" fillId="12" borderId="17" xfId="1" applyNumberFormat="1" applyFont="1" applyFill="1" applyBorder="1"/>
    <xf numFmtId="167" fontId="0" fillId="12" borderId="32" xfId="1" applyNumberFormat="1" applyFont="1" applyFill="1" applyBorder="1"/>
    <xf numFmtId="167" fontId="0" fillId="12" borderId="26" xfId="1" applyNumberFormat="1" applyFont="1" applyFill="1" applyBorder="1"/>
    <xf numFmtId="167" fontId="0" fillId="12" borderId="33" xfId="1" applyNumberFormat="1" applyFont="1" applyFill="1" applyBorder="1"/>
    <xf numFmtId="167" fontId="0" fillId="12" borderId="27" xfId="1" applyNumberFormat="1" applyFont="1" applyFill="1" applyBorder="1"/>
    <xf numFmtId="167" fontId="0" fillId="0" borderId="33" xfId="1" applyNumberFormat="1" applyFont="1" applyBorder="1"/>
    <xf numFmtId="167" fontId="0" fillId="0" borderId="17" xfId="1" applyNumberFormat="1" applyFont="1" applyBorder="1"/>
    <xf numFmtId="167" fontId="0" fillId="0" borderId="27" xfId="1" applyNumberFormat="1" applyFont="1" applyBorder="1"/>
    <xf numFmtId="0" fontId="0" fillId="0" borderId="1" xfId="1" applyNumberFormat="1" applyFont="1" applyFill="1" applyBorder="1" applyAlignment="1">
      <alignment horizontal="center"/>
    </xf>
    <xf numFmtId="168" fontId="11" fillId="12" borderId="13" xfId="2" applyNumberFormat="1" applyFont="1" applyFill="1" applyBorder="1" applyAlignment="1">
      <alignment horizontal="center" vertical="center" wrapText="1"/>
    </xf>
    <xf numFmtId="167" fontId="0" fillId="12" borderId="6" xfId="1" applyNumberFormat="1" applyFont="1" applyFill="1" applyBorder="1"/>
    <xf numFmtId="170" fontId="8" fillId="8" borderId="32" xfId="0" applyNumberFormat="1" applyFont="1" applyFill="1" applyBorder="1" applyAlignment="1">
      <alignment horizontal="center"/>
    </xf>
    <xf numFmtId="170" fontId="8" fillId="8" borderId="36" xfId="0" applyNumberFormat="1" applyFont="1" applyFill="1" applyBorder="1" applyAlignment="1">
      <alignment horizontal="center"/>
    </xf>
    <xf numFmtId="0" fontId="6" fillId="8" borderId="0" xfId="0" applyFont="1" applyFill="1"/>
    <xf numFmtId="170" fontId="8" fillId="8" borderId="26" xfId="0" applyNumberFormat="1" applyFont="1" applyFill="1" applyBorder="1" applyAlignment="1">
      <alignment horizontal="center"/>
    </xf>
    <xf numFmtId="170" fontId="8" fillId="5" borderId="47" xfId="0" applyNumberFormat="1" applyFont="1" applyFill="1" applyBorder="1" applyAlignment="1">
      <alignment horizontal="center"/>
    </xf>
    <xf numFmtId="170" fontId="8" fillId="5" borderId="48" xfId="0" applyNumberFormat="1" applyFont="1" applyFill="1" applyBorder="1" applyAlignment="1">
      <alignment horizontal="center"/>
    </xf>
    <xf numFmtId="167" fontId="0" fillId="0" borderId="47" xfId="1" applyNumberFormat="1" applyFont="1" applyBorder="1"/>
    <xf numFmtId="167" fontId="0" fillId="0" borderId="48" xfId="1" applyNumberFormat="1" applyFont="1" applyBorder="1"/>
    <xf numFmtId="167" fontId="0" fillId="0" borderId="49" xfId="1" applyNumberFormat="1" applyFont="1" applyBorder="1"/>
    <xf numFmtId="167" fontId="0" fillId="0" borderId="50" xfId="1" applyNumberFormat="1" applyFont="1" applyBorder="1"/>
    <xf numFmtId="0" fontId="17" fillId="9" borderId="51" xfId="0" applyNumberFormat="1" applyFont="1" applyFill="1" applyBorder="1" applyAlignment="1">
      <alignment horizontal="center"/>
    </xf>
    <xf numFmtId="0" fontId="17" fillId="9" borderId="52" xfId="0" applyNumberFormat="1" applyFont="1" applyFill="1" applyBorder="1" applyAlignment="1">
      <alignment horizontal="center"/>
    </xf>
    <xf numFmtId="170" fontId="8" fillId="5" borderId="53" xfId="0" applyNumberFormat="1" applyFont="1" applyFill="1" applyBorder="1" applyAlignment="1">
      <alignment horizontal="center"/>
    </xf>
    <xf numFmtId="167" fontId="10" fillId="0" borderId="54" xfId="1" applyNumberFormat="1" applyFont="1" applyFill="1" applyBorder="1"/>
    <xf numFmtId="167" fontId="10" fillId="0" borderId="55" xfId="1" applyNumberFormat="1" applyFont="1" applyFill="1" applyBorder="1"/>
    <xf numFmtId="167" fontId="10" fillId="0" borderId="56" xfId="1" applyNumberFormat="1" applyFont="1" applyFill="1" applyBorder="1"/>
    <xf numFmtId="171" fontId="0" fillId="0" borderId="32" xfId="1" applyNumberFormat="1" applyFont="1" applyBorder="1"/>
    <xf numFmtId="171" fontId="0" fillId="0" borderId="26" xfId="1" applyNumberFormat="1" applyFont="1" applyBorder="1"/>
    <xf numFmtId="171" fontId="2" fillId="0" borderId="39" xfId="1" applyNumberFormat="1" applyFont="1" applyBorder="1"/>
    <xf numFmtId="171" fontId="2" fillId="0" borderId="40" xfId="1" applyNumberFormat="1" applyFont="1" applyBorder="1"/>
    <xf numFmtId="168" fontId="0" fillId="0" borderId="32" xfId="2" applyNumberFormat="1" applyFont="1" applyBorder="1"/>
    <xf numFmtId="0" fontId="0" fillId="0" borderId="26" xfId="2" applyNumberFormat="1" applyFont="1" applyFill="1" applyBorder="1"/>
    <xf numFmtId="37" fontId="15" fillId="0" borderId="32" xfId="1" applyNumberFormat="1" applyFont="1" applyBorder="1"/>
    <xf numFmtId="37" fontId="15" fillId="0" borderId="26" xfId="1" applyNumberFormat="1" applyFont="1" applyBorder="1"/>
    <xf numFmtId="0" fontId="0" fillId="0" borderId="32" xfId="0" applyBorder="1"/>
    <xf numFmtId="0" fontId="0" fillId="0" borderId="26" xfId="0" applyBorder="1"/>
    <xf numFmtId="0" fontId="8" fillId="6" borderId="32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37" fontId="0" fillId="0" borderId="32" xfId="1" applyNumberFormat="1" applyFont="1" applyBorder="1"/>
    <xf numFmtId="37" fontId="0" fillId="0" borderId="26" xfId="1" applyNumberFormat="1" applyFont="1" applyBorder="1"/>
    <xf numFmtId="37" fontId="0" fillId="0" borderId="33" xfId="1" applyNumberFormat="1" applyFont="1" applyBorder="1"/>
    <xf numFmtId="37" fontId="0" fillId="0" borderId="27" xfId="1" applyNumberFormat="1" applyFont="1" applyBorder="1"/>
    <xf numFmtId="37" fontId="2" fillId="0" borderId="32" xfId="1" applyNumberFormat="1" applyFont="1" applyBorder="1"/>
    <xf numFmtId="37" fontId="2" fillId="0" borderId="0" xfId="1" applyNumberFormat="1" applyFont="1" applyBorder="1"/>
    <xf numFmtId="37" fontId="2" fillId="0" borderId="26" xfId="1" applyNumberFormat="1" applyFont="1" applyBorder="1"/>
    <xf numFmtId="37" fontId="0" fillId="0" borderId="57" xfId="1" applyNumberFormat="1" applyFont="1" applyBorder="1"/>
    <xf numFmtId="37" fontId="0" fillId="0" borderId="58" xfId="1" applyNumberFormat="1" applyFont="1" applyBorder="1"/>
    <xf numFmtId="0" fontId="0" fillId="0" borderId="32" xfId="2" applyNumberFormat="1" applyFont="1" applyFill="1" applyBorder="1"/>
    <xf numFmtId="9" fontId="2" fillId="0" borderId="32" xfId="2" applyFont="1" applyBorder="1"/>
    <xf numFmtId="9" fontId="2" fillId="0" borderId="0" xfId="2" applyFont="1" applyBorder="1"/>
    <xf numFmtId="9" fontId="2" fillId="0" borderId="26" xfId="2" applyFont="1" applyBorder="1"/>
    <xf numFmtId="171" fontId="10" fillId="0" borderId="39" xfId="1" applyNumberFormat="1" applyFont="1" applyBorder="1"/>
    <xf numFmtId="171" fontId="10" fillId="0" borderId="18" xfId="1" applyNumberFormat="1" applyFont="1" applyBorder="1"/>
    <xf numFmtId="171" fontId="10" fillId="0" borderId="40" xfId="1" applyNumberFormat="1" applyFont="1" applyBorder="1"/>
    <xf numFmtId="0" fontId="0" fillId="0" borderId="37" xfId="0" applyBorder="1"/>
    <xf numFmtId="0" fontId="8" fillId="6" borderId="37" xfId="0" applyFont="1" applyFill="1" applyBorder="1" applyAlignment="1">
      <alignment horizontal="left"/>
    </xf>
    <xf numFmtId="0" fontId="0" fillId="0" borderId="37" xfId="0" applyBorder="1" applyAlignment="1">
      <alignment horizontal="left" indent="1"/>
    </xf>
    <xf numFmtId="0" fontId="10" fillId="0" borderId="37" xfId="0" applyFont="1" applyFill="1" applyBorder="1"/>
    <xf numFmtId="172" fontId="0" fillId="0" borderId="37" xfId="0" applyNumberFormat="1" applyBorder="1" applyAlignment="1">
      <alignment horizontal="left" indent="1"/>
    </xf>
    <xf numFmtId="170" fontId="8" fillId="5" borderId="33" xfId="0" applyNumberFormat="1" applyFont="1" applyFill="1" applyBorder="1" applyAlignment="1">
      <alignment horizontal="center"/>
    </xf>
    <xf numFmtId="170" fontId="8" fillId="5" borderId="17" xfId="0" applyNumberFormat="1" applyFont="1" applyFill="1" applyBorder="1" applyAlignment="1">
      <alignment horizontal="center"/>
    </xf>
    <xf numFmtId="170" fontId="8" fillId="5" borderId="27" xfId="0" applyNumberFormat="1" applyFont="1" applyFill="1" applyBorder="1" applyAlignment="1">
      <alignment horizontal="center"/>
    </xf>
    <xf numFmtId="170" fontId="8" fillId="5" borderId="59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 indent="1"/>
    </xf>
    <xf numFmtId="171" fontId="0" fillId="0" borderId="33" xfId="1" applyNumberFormat="1" applyFont="1" applyBorder="1"/>
    <xf numFmtId="171" fontId="0" fillId="0" borderId="17" xfId="1" applyNumberFormat="1" applyFont="1" applyBorder="1"/>
    <xf numFmtId="171" fontId="0" fillId="0" borderId="27" xfId="1" applyNumberFormat="1" applyFont="1" applyBorder="1"/>
    <xf numFmtId="0" fontId="0" fillId="0" borderId="37" xfId="0" applyBorder="1" applyAlignment="1">
      <alignment horizontal="left"/>
    </xf>
    <xf numFmtId="0" fontId="8" fillId="6" borderId="38" xfId="0" applyFont="1" applyFill="1" applyBorder="1" applyAlignment="1">
      <alignment horizontal="left"/>
    </xf>
    <xf numFmtId="0" fontId="8" fillId="6" borderId="39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40" xfId="0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10" fillId="0" borderId="38" xfId="0" applyFont="1" applyFill="1" applyBorder="1"/>
    <xf numFmtId="171" fontId="10" fillId="0" borderId="32" xfId="1" applyNumberFormat="1" applyFont="1" applyBorder="1"/>
    <xf numFmtId="171" fontId="10" fillId="0" borderId="0" xfId="1" applyNumberFormat="1" applyFont="1" applyBorder="1"/>
    <xf numFmtId="171" fontId="10" fillId="0" borderId="26" xfId="1" applyNumberFormat="1" applyFont="1" applyBorder="1"/>
    <xf numFmtId="0" fontId="10" fillId="0" borderId="28" xfId="0" applyFont="1" applyFill="1" applyBorder="1"/>
    <xf numFmtId="171" fontId="10" fillId="0" borderId="33" xfId="1" applyNumberFormat="1" applyFont="1" applyBorder="1"/>
    <xf numFmtId="171" fontId="10" fillId="0" borderId="17" xfId="1" applyNumberFormat="1" applyFont="1" applyBorder="1"/>
    <xf numFmtId="171" fontId="10" fillId="0" borderId="27" xfId="1" applyNumberFormat="1" applyFont="1" applyBorder="1"/>
    <xf numFmtId="0" fontId="13" fillId="0" borderId="0" xfId="2" applyNumberFormat="1" applyFont="1" applyBorder="1" applyAlignment="1">
      <alignment horizontal="left"/>
    </xf>
    <xf numFmtId="168" fontId="0" fillId="0" borderId="0" xfId="0" applyNumberFormat="1"/>
    <xf numFmtId="167" fontId="0" fillId="0" borderId="0" xfId="1" applyNumberFormat="1" applyFont="1"/>
    <xf numFmtId="0" fontId="18" fillId="0" borderId="0" xfId="3" applyFont="1"/>
    <xf numFmtId="9" fontId="0" fillId="0" borderId="0" xfId="2" applyFont="1"/>
    <xf numFmtId="0" fontId="0" fillId="0" borderId="40" xfId="0" applyBorder="1"/>
    <xf numFmtId="0" fontId="0" fillId="0" borderId="32" xfId="0" applyNumberFormat="1" applyBorder="1"/>
    <xf numFmtId="0" fontId="18" fillId="0" borderId="0" xfId="3" applyFont="1" applyBorder="1"/>
    <xf numFmtId="0" fontId="11" fillId="0" borderId="32" xfId="0" applyNumberFormat="1" applyFont="1" applyBorder="1"/>
    <xf numFmtId="0" fontId="11" fillId="0" borderId="26" xfId="0" applyFont="1" applyBorder="1"/>
    <xf numFmtId="0" fontId="0" fillId="0" borderId="39" xfId="0" applyBorder="1"/>
    <xf numFmtId="0" fontId="0" fillId="0" borderId="18" xfId="0" applyBorder="1"/>
    <xf numFmtId="168" fontId="0" fillId="0" borderId="0" xfId="0" applyNumberFormat="1" applyBorder="1"/>
    <xf numFmtId="0" fontId="9" fillId="6" borderId="61" xfId="0" applyFont="1" applyFill="1" applyBorder="1"/>
    <xf numFmtId="0" fontId="8" fillId="6" borderId="61" xfId="0" applyFont="1" applyFill="1" applyBorder="1"/>
    <xf numFmtId="0" fontId="8" fillId="6" borderId="61" xfId="0" applyNumberFormat="1" applyFont="1" applyFill="1" applyBorder="1"/>
    <xf numFmtId="0" fontId="0" fillId="6" borderId="60" xfId="0" applyNumberFormat="1" applyFill="1" applyBorder="1"/>
    <xf numFmtId="0" fontId="0" fillId="6" borderId="62" xfId="0" applyFill="1" applyBorder="1"/>
    <xf numFmtId="0" fontId="13" fillId="0" borderId="0" xfId="2" applyNumberFormat="1" applyFont="1" applyBorder="1" applyAlignment="1">
      <alignment horizontal="left"/>
    </xf>
    <xf numFmtId="168" fontId="18" fillId="0" borderId="0" xfId="3" applyNumberFormat="1" applyFont="1" applyBorder="1"/>
    <xf numFmtId="170" fontId="8" fillId="5" borderId="31" xfId="0" applyNumberFormat="1" applyFont="1" applyFill="1" applyBorder="1" applyAlignment="1">
      <alignment horizontal="center"/>
    </xf>
    <xf numFmtId="170" fontId="8" fillId="5" borderId="22" xfId="0" applyNumberFormat="1" applyFont="1" applyFill="1" applyBorder="1" applyAlignment="1">
      <alignment horizontal="center"/>
    </xf>
    <xf numFmtId="170" fontId="8" fillId="5" borderId="63" xfId="0" applyNumberFormat="1" applyFont="1" applyFill="1" applyBorder="1" applyAlignment="1">
      <alignment horizontal="center"/>
    </xf>
    <xf numFmtId="167" fontId="0" fillId="0" borderId="0" xfId="0" applyNumberFormat="1"/>
    <xf numFmtId="170" fontId="0" fillId="0" borderId="0" xfId="0" applyNumberFormat="1"/>
    <xf numFmtId="37" fontId="0" fillId="0" borderId="0" xfId="0" applyNumberFormat="1"/>
    <xf numFmtId="168" fontId="0" fillId="0" borderId="0" xfId="2" applyNumberFormat="1" applyFont="1"/>
    <xf numFmtId="10" fontId="0" fillId="0" borderId="0" xfId="2" applyNumberFormat="1" applyFont="1"/>
    <xf numFmtId="2" fontId="0" fillId="0" borderId="0" xfId="0" applyNumberFormat="1"/>
    <xf numFmtId="37" fontId="0" fillId="0" borderId="0" xfId="1" applyNumberFormat="1" applyFont="1" applyFill="1" applyBorder="1"/>
    <xf numFmtId="165" fontId="0" fillId="0" borderId="0" xfId="0" applyNumberFormat="1"/>
    <xf numFmtId="0" fontId="13" fillId="0" borderId="0" xfId="2" applyNumberFormat="1" applyFont="1" applyBorder="1" applyAlignment="1">
      <alignment horizontal="left"/>
    </xf>
    <xf numFmtId="0" fontId="17" fillId="0" borderId="37" xfId="0" applyFont="1" applyFill="1" applyBorder="1" applyAlignment="1">
      <alignment horizontal="center"/>
    </xf>
    <xf numFmtId="0" fontId="13" fillId="0" borderId="0" xfId="2" applyNumberFormat="1" applyFont="1" applyBorder="1" applyAlignment="1">
      <alignment horizontal="left"/>
    </xf>
    <xf numFmtId="0" fontId="13" fillId="0" borderId="5" xfId="2" applyNumberFormat="1" applyFont="1" applyBorder="1" applyAlignment="1">
      <alignment horizontal="left"/>
    </xf>
    <xf numFmtId="167" fontId="0" fillId="0" borderId="64" xfId="1" applyNumberFormat="1" applyFont="1" applyFill="1" applyBorder="1"/>
    <xf numFmtId="0" fontId="0" fillId="0" borderId="65" xfId="0" applyFill="1" applyBorder="1"/>
    <xf numFmtId="0" fontId="13" fillId="0" borderId="65" xfId="2" applyNumberFormat="1" applyFont="1" applyBorder="1" applyAlignment="1">
      <alignment horizontal="left"/>
    </xf>
    <xf numFmtId="0" fontId="0" fillId="0" borderId="4" xfId="0" applyFill="1" applyBorder="1"/>
    <xf numFmtId="9" fontId="0" fillId="0" borderId="0" xfId="0" applyNumberFormat="1"/>
    <xf numFmtId="0" fontId="19" fillId="0" borderId="0" xfId="0" applyFont="1" applyFill="1" applyBorder="1"/>
    <xf numFmtId="171" fontId="2" fillId="0" borderId="26" xfId="0" applyNumberFormat="1" applyFont="1" applyBorder="1"/>
    <xf numFmtId="0" fontId="9" fillId="6" borderId="0" xfId="0" applyFont="1" applyFill="1" applyBorder="1"/>
    <xf numFmtId="171" fontId="0" fillId="0" borderId="0" xfId="0" applyNumberFormat="1"/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0" applyNumberFormat="1" applyFont="1" applyFill="1" applyBorder="1"/>
    <xf numFmtId="0" fontId="0" fillId="0" borderId="0" xfId="0" applyFont="1" applyFill="1"/>
    <xf numFmtId="0" fontId="6" fillId="0" borderId="0" xfId="0" applyFont="1" applyBorder="1"/>
    <xf numFmtId="0" fontId="0" fillId="0" borderId="0" xfId="0" applyNumberFormat="1" applyBorder="1"/>
    <xf numFmtId="0" fontId="7" fillId="0" borderId="0" xfId="3" applyBorder="1"/>
    <xf numFmtId="168" fontId="7" fillId="0" borderId="0" xfId="3" applyNumberFormat="1" applyBorder="1"/>
    <xf numFmtId="0" fontId="17" fillId="9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 vertical="center"/>
    </xf>
    <xf numFmtId="173" fontId="0" fillId="0" borderId="0" xfId="0" applyNumberFormat="1" applyBorder="1"/>
    <xf numFmtId="3" fontId="0" fillId="0" borderId="0" xfId="0" applyNumberFormat="1" applyBorder="1"/>
    <xf numFmtId="164" fontId="0" fillId="0" borderId="0" xfId="0" applyNumberFormat="1" applyBorder="1"/>
    <xf numFmtId="37" fontId="20" fillId="0" borderId="0" xfId="1" applyNumberFormat="1" applyFont="1" applyFill="1" applyBorder="1"/>
    <xf numFmtId="0" fontId="8" fillId="6" borderId="0" xfId="0" applyFont="1" applyFill="1" applyBorder="1"/>
    <xf numFmtId="0" fontId="8" fillId="6" borderId="0" xfId="0" applyNumberFormat="1" applyFont="1" applyFill="1" applyBorder="1"/>
    <xf numFmtId="0" fontId="0" fillId="0" borderId="0" xfId="1" applyNumberFormat="1" applyFont="1" applyBorder="1"/>
    <xf numFmtId="0" fontId="17" fillId="0" borderId="0" xfId="0" applyFont="1" applyFill="1" applyBorder="1" applyAlignment="1">
      <alignment horizontal="center"/>
    </xf>
    <xf numFmtId="37" fontId="0" fillId="0" borderId="0" xfId="0" applyNumberFormat="1" applyBorder="1"/>
    <xf numFmtId="174" fontId="0" fillId="0" borderId="32" xfId="1" applyNumberFormat="1" applyFont="1" applyFill="1" applyBorder="1"/>
    <xf numFmtId="174" fontId="0" fillId="0" borderId="0" xfId="1" applyNumberFormat="1" applyFont="1" applyFill="1" applyBorder="1"/>
    <xf numFmtId="174" fontId="0" fillId="0" borderId="26" xfId="1" applyNumberFormat="1" applyFont="1" applyFill="1" applyBorder="1"/>
    <xf numFmtId="174" fontId="0" fillId="0" borderId="0" xfId="0" applyNumberFormat="1"/>
    <xf numFmtId="174" fontId="0" fillId="0" borderId="33" xfId="1" applyNumberFormat="1" applyFont="1" applyFill="1" applyBorder="1"/>
    <xf numFmtId="174" fontId="0" fillId="0" borderId="17" xfId="1" applyNumberFormat="1" applyFont="1" applyFill="1" applyBorder="1"/>
    <xf numFmtId="174" fontId="0" fillId="0" borderId="27" xfId="1" applyNumberFormat="1" applyFont="1" applyFill="1" applyBorder="1"/>
    <xf numFmtId="174" fontId="10" fillId="0" borderId="18" xfId="1" applyNumberFormat="1" applyFont="1" applyFill="1" applyBorder="1"/>
    <xf numFmtId="37" fontId="17" fillId="0" borderId="37" xfId="0" applyNumberFormat="1" applyFont="1" applyFill="1" applyBorder="1" applyAlignment="1">
      <alignment horizontal="center"/>
    </xf>
    <xf numFmtId="0" fontId="21" fillId="0" borderId="0" xfId="0" applyFont="1"/>
    <xf numFmtId="167" fontId="0" fillId="13" borderId="1" xfId="1" applyNumberFormat="1" applyFont="1" applyFill="1" applyBorder="1"/>
    <xf numFmtId="9" fontId="0" fillId="13" borderId="13" xfId="2" applyFont="1" applyFill="1" applyBorder="1" applyAlignment="1">
      <alignment horizontal="center"/>
    </xf>
    <xf numFmtId="10" fontId="0" fillId="13" borderId="13" xfId="2" applyNumberFormat="1" applyFont="1" applyFill="1" applyBorder="1" applyAlignment="1">
      <alignment horizontal="center"/>
    </xf>
    <xf numFmtId="165" fontId="0" fillId="13" borderId="4" xfId="1" applyNumberFormat="1" applyFont="1" applyFill="1" applyBorder="1"/>
    <xf numFmtId="165" fontId="0" fillId="13" borderId="4" xfId="1" applyNumberFormat="1" applyFont="1" applyFill="1" applyBorder="1" applyAlignment="1">
      <alignment horizontal="center"/>
    </xf>
    <xf numFmtId="165" fontId="0" fillId="13" borderId="6" xfId="1" applyNumberFormat="1" applyFont="1" applyFill="1" applyBorder="1"/>
    <xf numFmtId="168" fontId="11" fillId="13" borderId="13" xfId="2" applyNumberFormat="1" applyFont="1" applyFill="1" applyBorder="1" applyAlignment="1">
      <alignment horizontal="center"/>
    </xf>
    <xf numFmtId="0" fontId="0" fillId="13" borderId="4" xfId="1" applyNumberFormat="1" applyFont="1" applyFill="1" applyBorder="1" applyAlignment="1">
      <alignment horizontal="center"/>
    </xf>
    <xf numFmtId="167" fontId="0" fillId="13" borderId="4" xfId="1" applyNumberFormat="1" applyFont="1" applyFill="1" applyBorder="1"/>
    <xf numFmtId="10" fontId="0" fillId="13" borderId="4" xfId="1" applyNumberFormat="1" applyFont="1" applyFill="1" applyBorder="1"/>
    <xf numFmtId="168" fontId="0" fillId="13" borderId="6" xfId="2" applyNumberFormat="1" applyFont="1" applyFill="1" applyBorder="1"/>
    <xf numFmtId="168" fontId="0" fillId="13" borderId="32" xfId="2" applyNumberFormat="1" applyFont="1" applyFill="1" applyBorder="1"/>
    <xf numFmtId="168" fontId="0" fillId="13" borderId="0" xfId="2" applyNumberFormat="1" applyFont="1" applyFill="1" applyBorder="1"/>
    <xf numFmtId="168" fontId="0" fillId="13" borderId="26" xfId="2" applyNumberFormat="1" applyFont="1" applyFill="1" applyBorder="1"/>
    <xf numFmtId="168" fontId="0" fillId="0" borderId="0" xfId="2" applyNumberFormat="1" applyFont="1" applyFill="1" applyBorder="1"/>
    <xf numFmtId="168" fontId="0" fillId="0" borderId="64" xfId="2" applyNumberFormat="1" applyFont="1" applyFill="1" applyBorder="1"/>
    <xf numFmtId="167" fontId="0" fillId="13" borderId="2" xfId="1" applyNumberFormat="1" applyFont="1" applyFill="1" applyBorder="1"/>
    <xf numFmtId="9" fontId="0" fillId="13" borderId="0" xfId="2" applyFont="1" applyFill="1" applyBorder="1"/>
    <xf numFmtId="9" fontId="0" fillId="13" borderId="7" xfId="2" applyFont="1" applyFill="1" applyBorder="1"/>
    <xf numFmtId="2" fontId="0" fillId="13" borderId="65" xfId="2" applyNumberFormat="1" applyFont="1" applyFill="1" applyBorder="1"/>
    <xf numFmtId="167" fontId="0" fillId="13" borderId="32" xfId="2" applyNumberFormat="1" applyFont="1" applyFill="1" applyBorder="1"/>
    <xf numFmtId="167" fontId="0" fillId="13" borderId="0" xfId="2" applyNumberFormat="1" applyFont="1" applyFill="1" applyBorder="1"/>
    <xf numFmtId="167" fontId="0" fillId="13" borderId="26" xfId="2" applyNumberFormat="1" applyFont="1" applyFill="1" applyBorder="1"/>
    <xf numFmtId="0" fontId="0" fillId="13" borderId="0" xfId="0" applyFont="1" applyFill="1" applyBorder="1"/>
    <xf numFmtId="167" fontId="0" fillId="13" borderId="32" xfId="1" applyNumberFormat="1" applyFont="1" applyFill="1" applyBorder="1"/>
    <xf numFmtId="167" fontId="0" fillId="13" borderId="0" xfId="1" applyNumberFormat="1" applyFont="1" applyFill="1" applyBorder="1"/>
    <xf numFmtId="167" fontId="0" fillId="13" borderId="26" xfId="1" applyNumberFormat="1" applyFont="1" applyFill="1" applyBorder="1"/>
    <xf numFmtId="167" fontId="0" fillId="13" borderId="41" xfId="1" applyNumberFormat="1" applyFont="1" applyFill="1" applyBorder="1"/>
    <xf numFmtId="167" fontId="0" fillId="13" borderId="9" xfId="1" applyNumberFormat="1" applyFont="1" applyFill="1" applyBorder="1"/>
    <xf numFmtId="167" fontId="0" fillId="13" borderId="42" xfId="1" applyNumberFormat="1" applyFont="1" applyFill="1" applyBorder="1"/>
    <xf numFmtId="9" fontId="0" fillId="13" borderId="1" xfId="2" applyFont="1" applyFill="1" applyBorder="1"/>
    <xf numFmtId="9" fontId="0" fillId="13" borderId="4" xfId="2" applyFont="1" applyFill="1" applyBorder="1"/>
    <xf numFmtId="167" fontId="0" fillId="13" borderId="6" xfId="1" applyNumberFormat="1" applyFont="1" applyFill="1" applyBorder="1" applyAlignment="1">
      <alignment horizontal="center"/>
    </xf>
    <xf numFmtId="9" fontId="0" fillId="13" borderId="6" xfId="2" applyFont="1" applyFill="1" applyBorder="1"/>
    <xf numFmtId="167" fontId="0" fillId="13" borderId="47" xfId="1" applyNumberFormat="1" applyFont="1" applyFill="1" applyBorder="1"/>
    <xf numFmtId="167" fontId="0" fillId="13" borderId="48" xfId="1" applyNumberFormat="1" applyFont="1" applyFill="1" applyBorder="1"/>
    <xf numFmtId="9" fontId="0" fillId="13" borderId="16" xfId="2" applyFont="1" applyFill="1" applyBorder="1"/>
    <xf numFmtId="167" fontId="0" fillId="13" borderId="16" xfId="1" applyNumberFormat="1" applyFont="1" applyFill="1" applyBorder="1"/>
    <xf numFmtId="0" fontId="0" fillId="13" borderId="10" xfId="0" applyFill="1" applyBorder="1"/>
    <xf numFmtId="170" fontId="0" fillId="13" borderId="4" xfId="2" applyNumberFormat="1" applyFont="1" applyFill="1" applyBorder="1" applyAlignment="1">
      <alignment horizontal="center"/>
    </xf>
    <xf numFmtId="0" fontId="0" fillId="13" borderId="4" xfId="2" applyNumberFormat="1" applyFont="1" applyFill="1" applyBorder="1" applyAlignment="1">
      <alignment horizontal="center"/>
    </xf>
    <xf numFmtId="167" fontId="0" fillId="13" borderId="11" xfId="1" applyNumberFormat="1" applyFont="1" applyFill="1" applyBorder="1"/>
    <xf numFmtId="0" fontId="0" fillId="13" borderId="11" xfId="0" applyFill="1" applyBorder="1"/>
    <xf numFmtId="167" fontId="0" fillId="13" borderId="0" xfId="1" applyNumberFormat="1" applyFont="1" applyFill="1" applyBorder="1" applyAlignment="1">
      <alignment horizontal="center"/>
    </xf>
    <xf numFmtId="0" fontId="0" fillId="13" borderId="12" xfId="0" applyFill="1" applyBorder="1"/>
    <xf numFmtId="167" fontId="0" fillId="13" borderId="7" xfId="1" applyNumberFormat="1" applyFont="1" applyFill="1" applyBorder="1"/>
    <xf numFmtId="170" fontId="0" fillId="13" borderId="6" xfId="2" applyNumberFormat="1" applyFont="1" applyFill="1" applyBorder="1" applyAlignment="1">
      <alignment horizontal="center"/>
    </xf>
    <xf numFmtId="0" fontId="0" fillId="13" borderId="6" xfId="2" applyNumberFormat="1" applyFont="1" applyFill="1" applyBorder="1" applyAlignment="1">
      <alignment horizontal="center"/>
    </xf>
    <xf numFmtId="167" fontId="0" fillId="13" borderId="12" xfId="1" applyNumberFormat="1" applyFont="1" applyFill="1" applyBorder="1"/>
    <xf numFmtId="171" fontId="0" fillId="13" borderId="32" xfId="1" applyNumberFormat="1" applyFont="1" applyFill="1" applyBorder="1"/>
    <xf numFmtId="171" fontId="0" fillId="13" borderId="0" xfId="1" applyNumberFormat="1" applyFont="1" applyFill="1" applyBorder="1"/>
    <xf numFmtId="171" fontId="0" fillId="13" borderId="26" xfId="1" applyNumberFormat="1" applyFont="1" applyFill="1" applyBorder="1"/>
    <xf numFmtId="170" fontId="0" fillId="13" borderId="1" xfId="2" applyNumberFormat="1" applyFont="1" applyFill="1" applyBorder="1"/>
    <xf numFmtId="170" fontId="0" fillId="13" borderId="4" xfId="2" applyNumberFormat="1" applyFont="1" applyFill="1" applyBorder="1"/>
    <xf numFmtId="170" fontId="0" fillId="13" borderId="6" xfId="2" applyNumberFormat="1" applyFont="1" applyFill="1" applyBorder="1"/>
    <xf numFmtId="168" fontId="11" fillId="13" borderId="13" xfId="2" applyNumberFormat="1" applyFont="1" applyFill="1" applyBorder="1" applyAlignment="1">
      <alignment horizontal="center" wrapText="1"/>
    </xf>
    <xf numFmtId="168" fontId="11" fillId="13" borderId="13" xfId="2" applyNumberFormat="1" applyFont="1" applyFill="1" applyBorder="1" applyAlignment="1">
      <alignment horizontal="center" vertical="center" wrapText="1"/>
    </xf>
    <xf numFmtId="37" fontId="15" fillId="13" borderId="32" xfId="1" applyNumberFormat="1" applyFont="1" applyFill="1" applyBorder="1"/>
    <xf numFmtId="0" fontId="17" fillId="10" borderId="29" xfId="0" applyFont="1" applyFill="1" applyBorder="1" applyAlignment="1">
      <alignment horizontal="center"/>
    </xf>
    <xf numFmtId="0" fontId="17" fillId="10" borderId="24" xfId="0" applyFont="1" applyFill="1" applyBorder="1" applyAlignment="1">
      <alignment horizontal="center"/>
    </xf>
    <xf numFmtId="0" fontId="17" fillId="10" borderId="30" xfId="0" applyFont="1" applyFill="1" applyBorder="1" applyAlignment="1">
      <alignment horizontal="center"/>
    </xf>
    <xf numFmtId="0" fontId="17" fillId="10" borderId="3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23" xfId="0" applyFont="1" applyFill="1" applyBorder="1" applyAlignment="1">
      <alignment horizontal="center"/>
    </xf>
    <xf numFmtId="0" fontId="17" fillId="10" borderId="21" xfId="0" applyFont="1" applyFill="1" applyBorder="1" applyAlignment="1">
      <alignment horizontal="center"/>
    </xf>
    <xf numFmtId="0" fontId="17" fillId="10" borderId="25" xfId="0" applyFont="1" applyFill="1" applyBorder="1" applyAlignment="1">
      <alignment horizontal="center"/>
    </xf>
    <xf numFmtId="0" fontId="17" fillId="9" borderId="32" xfId="0" applyFont="1" applyFill="1" applyBorder="1" applyAlignment="1">
      <alignment horizontal="center"/>
    </xf>
    <xf numFmtId="0" fontId="17" fillId="9" borderId="0" xfId="0" applyFont="1" applyFill="1" applyBorder="1" applyAlignment="1">
      <alignment horizontal="center"/>
    </xf>
    <xf numFmtId="0" fontId="17" fillId="9" borderId="26" xfId="0" applyFont="1" applyFill="1" applyBorder="1" applyAlignment="1">
      <alignment horizontal="center"/>
    </xf>
    <xf numFmtId="0" fontId="13" fillId="0" borderId="7" xfId="2" applyNumberFormat="1" applyFont="1" applyBorder="1" applyAlignment="1">
      <alignment horizontal="left"/>
    </xf>
    <xf numFmtId="0" fontId="13" fillId="0" borderId="8" xfId="2" applyNumberFormat="1" applyFont="1" applyBorder="1" applyAlignment="1">
      <alignment horizontal="left"/>
    </xf>
    <xf numFmtId="0" fontId="13" fillId="0" borderId="0" xfId="2" applyNumberFormat="1" applyFont="1" applyBorder="1" applyAlignment="1">
      <alignment horizontal="left"/>
    </xf>
    <xf numFmtId="0" fontId="13" fillId="0" borderId="5" xfId="2" applyNumberFormat="1" applyFont="1" applyBorder="1" applyAlignment="1">
      <alignment horizontal="left"/>
    </xf>
    <xf numFmtId="0" fontId="12" fillId="0" borderId="14" xfId="2" applyNumberFormat="1" applyFont="1" applyBorder="1" applyAlignment="1">
      <alignment horizontal="center"/>
    </xf>
    <xf numFmtId="0" fontId="12" fillId="0" borderId="15" xfId="2" applyNumberFormat="1" applyFont="1" applyBorder="1" applyAlignment="1">
      <alignment horizontal="center"/>
    </xf>
    <xf numFmtId="0" fontId="17" fillId="9" borderId="29" xfId="0" applyFont="1" applyFill="1" applyBorder="1" applyAlignment="1">
      <alignment horizontal="center"/>
    </xf>
    <xf numFmtId="0" fontId="17" fillId="9" borderId="24" xfId="0" applyFont="1" applyFill="1" applyBorder="1" applyAlignment="1">
      <alignment horizontal="center"/>
    </xf>
    <xf numFmtId="0" fontId="17" fillId="9" borderId="30" xfId="0" applyFont="1" applyFill="1" applyBorder="1" applyAlignment="1">
      <alignment horizontal="center"/>
    </xf>
    <xf numFmtId="0" fontId="13" fillId="0" borderId="2" xfId="2" applyNumberFormat="1" applyFont="1" applyBorder="1" applyAlignment="1">
      <alignment horizontal="left"/>
    </xf>
    <xf numFmtId="0" fontId="13" fillId="0" borderId="3" xfId="2" applyNumberFormat="1" applyFont="1" applyBorder="1" applyAlignment="1">
      <alignment horizontal="left"/>
    </xf>
    <xf numFmtId="0" fontId="13" fillId="0" borderId="14" xfId="2" applyNumberFormat="1" applyFont="1" applyBorder="1" applyAlignment="1">
      <alignment horizontal="left"/>
    </xf>
    <xf numFmtId="0" fontId="13" fillId="0" borderId="15" xfId="2" applyNumberFormat="1" applyFont="1" applyBorder="1" applyAlignment="1">
      <alignment horizontal="left"/>
    </xf>
    <xf numFmtId="0" fontId="13" fillId="0" borderId="4" xfId="2" applyNumberFormat="1" applyFont="1" applyBorder="1" applyAlignment="1">
      <alignment horizontal="left"/>
    </xf>
    <xf numFmtId="0" fontId="13" fillId="0" borderId="6" xfId="2" applyNumberFormat="1" applyFont="1" applyBorder="1" applyAlignment="1">
      <alignment horizontal="left"/>
    </xf>
    <xf numFmtId="0" fontId="12" fillId="0" borderId="13" xfId="2" applyNumberFormat="1" applyFont="1" applyBorder="1" applyAlignment="1">
      <alignment horizontal="center"/>
    </xf>
    <xf numFmtId="0" fontId="13" fillId="0" borderId="1" xfId="2" applyNumberFormat="1" applyFont="1" applyBorder="1" applyAlignment="1">
      <alignment horizontal="left"/>
    </xf>
    <xf numFmtId="0" fontId="17" fillId="10" borderId="43" xfId="0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0" fontId="17" fillId="9" borderId="47" xfId="0" applyFont="1" applyFill="1" applyBorder="1" applyAlignment="1">
      <alignment horizontal="center"/>
    </xf>
    <xf numFmtId="0" fontId="17" fillId="9" borderId="48" xfId="0" applyFont="1" applyFill="1" applyBorder="1" applyAlignment="1">
      <alignment horizontal="center"/>
    </xf>
    <xf numFmtId="0" fontId="17" fillId="10" borderId="45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11" fillId="0" borderId="14" xfId="2" applyNumberFormat="1" applyFont="1" applyBorder="1" applyAlignment="1">
      <alignment horizontal="center" vertical="center" wrapText="1"/>
    </xf>
    <xf numFmtId="0" fontId="11" fillId="0" borderId="15" xfId="2" applyNumberFormat="1" applyFont="1" applyBorder="1" applyAlignment="1">
      <alignment horizontal="center" vertical="center" wrapText="1"/>
    </xf>
    <xf numFmtId="0" fontId="11" fillId="0" borderId="13" xfId="2" applyNumberFormat="1" applyFont="1" applyBorder="1" applyAlignment="1">
      <alignment horizontal="center" vertical="center"/>
    </xf>
    <xf numFmtId="0" fontId="11" fillId="0" borderId="14" xfId="2" applyNumberFormat="1" applyFont="1" applyBorder="1" applyAlignment="1">
      <alignment horizontal="center" vertical="center"/>
    </xf>
    <xf numFmtId="0" fontId="11" fillId="0" borderId="15" xfId="2" applyNumberFormat="1" applyFont="1" applyBorder="1" applyAlignment="1">
      <alignment horizontal="center" vertical="center"/>
    </xf>
    <xf numFmtId="0" fontId="17" fillId="10" borderId="0" xfId="0" applyFont="1" applyFill="1" applyBorder="1" applyAlignment="1">
      <alignment horizontal="center"/>
    </xf>
  </cellXfs>
  <cellStyles count="4">
    <cellStyle name="Comma" xfId="1" builtinId="3"/>
    <cellStyle name="Heading 1" xfId="3" builtinId="16" customBuiltin="1"/>
    <cellStyle name="Normal" xfId="0" builtinId="0"/>
    <cellStyle name="Percent" xfId="2" builtinId="5"/>
  </cellStyles>
  <dxfs count="10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FFFFC9"/>
      <color rgb="FFEAF1FA"/>
      <color rgb="FFEAE1FB"/>
      <color rgb="FFCEF6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Quarterly</a:t>
            </a:r>
            <a:r>
              <a:rPr lang="en-US" baseline="0"/>
              <a:t> Revenues (first two years)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'Top-Down'!$A$42</c:f>
              <c:strCache>
                <c:ptCount val="1"/>
                <c:pt idx="0">
                  <c:v>Market 1</c:v>
                </c:pt>
              </c:strCache>
            </c:strRef>
          </c:tx>
          <c:xVal>
            <c:numRef>
              <c:f>'Top-Down'!$B$41:$I$41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'Top-Down'!$B$42:$I$42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CB-4FC3-8489-2D98CE953269}"/>
            </c:ext>
          </c:extLst>
        </c:ser>
        <c:ser>
          <c:idx val="1"/>
          <c:order val="1"/>
          <c:tx>
            <c:strRef>
              <c:f>'Top-Down'!$A$43</c:f>
              <c:strCache>
                <c:ptCount val="1"/>
                <c:pt idx="0">
                  <c:v>Market 2</c:v>
                </c:pt>
              </c:strCache>
            </c:strRef>
          </c:tx>
          <c:xVal>
            <c:numRef>
              <c:f>'Top-Down'!$B$41:$I$41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'Top-Down'!$B$43:$I$43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CB-4FC3-8489-2D98CE953269}"/>
            </c:ext>
          </c:extLst>
        </c:ser>
        <c:ser>
          <c:idx val="2"/>
          <c:order val="2"/>
          <c:tx>
            <c:strRef>
              <c:f>'Top-Down'!$A$44</c:f>
              <c:strCache>
                <c:ptCount val="1"/>
                <c:pt idx="0">
                  <c:v>Market 3</c:v>
                </c:pt>
              </c:strCache>
            </c:strRef>
          </c:tx>
          <c:xVal>
            <c:numRef>
              <c:f>'Top-Down'!$B$41:$I$41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'Top-Down'!$B$44:$I$44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CB-4FC3-8489-2D98CE95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7520"/>
        <c:axId val="972210448"/>
      </c:scatterChart>
      <c:valAx>
        <c:axId val="97221752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72210448"/>
        <c:crosses val="autoZero"/>
        <c:crossBetween val="midCat"/>
      </c:valAx>
      <c:valAx>
        <c:axId val="972210448"/>
        <c:scaling>
          <c:orientation val="minMax"/>
        </c:scaling>
        <c:delete val="0"/>
        <c:axPos val="l"/>
        <c:majorGridlines/>
        <c:title>
          <c:tx>
            <c:strRef>
              <c:f>'Top-Down'!$A$2</c:f>
              <c:strCache>
                <c:ptCount val="1"/>
                <c:pt idx="0">
                  <c:v>Revenues (USD)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7520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Annual </a:t>
            </a:r>
            <a:r>
              <a:rPr lang="en-GB" baseline="0"/>
              <a:t>COGS - Bottom-up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2059071545125"/>
          <c:y val="0.25196143146777311"/>
          <c:w val="0.7115186227590814"/>
          <c:h val="0.51330888296757593"/>
        </c:manualLayout>
      </c:layout>
      <c:scatterChart>
        <c:scatterStyle val="lineMarker"/>
        <c:varyColors val="0"/>
        <c:ser>
          <c:idx val="1"/>
          <c:order val="0"/>
          <c:tx>
            <c:strRef>
              <c:f>COGS!$Q$76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COGS!$R$75:$W$75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COGS!$R$76:$W$76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AB-4E08-A8A6-7F88CE9F6637}"/>
            </c:ext>
          </c:extLst>
        </c:ser>
        <c:ser>
          <c:idx val="0"/>
          <c:order val="1"/>
          <c:tx>
            <c:strRef>
              <c:f>COGS!$Q$77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COGS!$R$75:$W$75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COGS!$R$77:$W$77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AB-4E08-A8A6-7F88CE9F6637}"/>
            </c:ext>
          </c:extLst>
        </c:ser>
        <c:ser>
          <c:idx val="2"/>
          <c:order val="2"/>
          <c:tx>
            <c:strRef>
              <c:f>COGS!$Q$78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COGS!$R$75:$W$75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COGS!$R$78:$W$78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AB-4E08-A8A6-7F88CE9F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5888"/>
        <c:axId val="972218608"/>
      </c:scatterChart>
      <c:valAx>
        <c:axId val="972215888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18608"/>
        <c:crosses val="autoZero"/>
        <c:crossBetween val="midCat"/>
      </c:valAx>
      <c:valAx>
        <c:axId val="972218608"/>
        <c:scaling>
          <c:orientation val="minMax"/>
        </c:scaling>
        <c:delete val="0"/>
        <c:axPos val="l"/>
        <c:majorGridlines/>
        <c:title>
          <c:tx>
            <c:strRef>
              <c:f>COGS!$A$2</c:f>
              <c:strCache>
                <c:ptCount val="1"/>
                <c:pt idx="0">
                  <c:v>COGS (USD)</c:v>
                </c:pt>
              </c:strCache>
            </c:strRef>
          </c:tx>
          <c:layout>
            <c:manualLayout>
              <c:xMode val="edge"/>
              <c:yMode val="edge"/>
              <c:x val="3.3391740496971953E-2"/>
              <c:y val="0.49071215744853286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5888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Quarterly Payroll Costs (first two years)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Payroll!$A$43</c:f>
              <c:strCache>
                <c:ptCount val="1"/>
                <c:pt idx="0">
                  <c:v>Founders  (first year)</c:v>
                </c:pt>
              </c:strCache>
            </c:strRef>
          </c:tx>
          <c:xVal>
            <c:numRef>
              <c:f>Payroll!$B$42:$I$42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Payroll!$B$43:$I$43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1B-46B4-9407-701B7D119369}"/>
            </c:ext>
          </c:extLst>
        </c:ser>
        <c:ser>
          <c:idx val="1"/>
          <c:order val="1"/>
          <c:tx>
            <c:strRef>
              <c:f>Payroll!$A$44</c:f>
              <c:strCache>
                <c:ptCount val="1"/>
                <c:pt idx="0">
                  <c:v>Founders (later years)</c:v>
                </c:pt>
              </c:strCache>
            </c:strRef>
          </c:tx>
          <c:xVal>
            <c:numRef>
              <c:f>Payroll!$B$42:$I$42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Payroll!$B$44:$I$44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1B-46B4-9407-701B7D119369}"/>
            </c:ext>
          </c:extLst>
        </c:ser>
        <c:ser>
          <c:idx val="2"/>
          <c:order val="2"/>
          <c:tx>
            <c:strRef>
              <c:f>Payroll!$A$45</c:f>
              <c:strCache>
                <c:ptCount val="1"/>
                <c:pt idx="0">
                  <c:v>Engineers</c:v>
                </c:pt>
              </c:strCache>
            </c:strRef>
          </c:tx>
          <c:xVal>
            <c:numRef>
              <c:f>Payroll!$B$42:$I$42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Payroll!$B$45:$I$45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1B-46B4-9407-701B7D119369}"/>
            </c:ext>
          </c:extLst>
        </c:ser>
        <c:ser>
          <c:idx val="3"/>
          <c:order val="3"/>
          <c:tx>
            <c:strRef>
              <c:f>Payroll!$A$46</c:f>
              <c:strCache>
                <c:ptCount val="1"/>
                <c:pt idx="0">
                  <c:v>Sales</c:v>
                </c:pt>
              </c:strCache>
            </c:strRef>
          </c:tx>
          <c:xVal>
            <c:numRef>
              <c:f>Payroll!$B$42:$I$42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Payroll!$B$46:$I$46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1B-46B4-9407-701B7D119369}"/>
            </c:ext>
          </c:extLst>
        </c:ser>
        <c:ser>
          <c:idx val="4"/>
          <c:order val="4"/>
          <c:tx>
            <c:strRef>
              <c:f>Payroll!$A$47</c:f>
              <c:strCache>
                <c:ptCount val="1"/>
                <c:pt idx="0">
                  <c:v>Admin</c:v>
                </c:pt>
              </c:strCache>
            </c:strRef>
          </c:tx>
          <c:xVal>
            <c:numRef>
              <c:f>Payroll!$B$42:$I$42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Payroll!$B$47:$I$47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1B-46B4-9407-701B7D119369}"/>
            </c:ext>
          </c:extLst>
        </c:ser>
        <c:ser>
          <c:idx val="5"/>
          <c:order val="5"/>
          <c:tx>
            <c:strRef>
              <c:f>Payroll!$A$48</c:f>
              <c:strCache>
                <c:ptCount val="1"/>
                <c:pt idx="0">
                  <c:v>Finance</c:v>
                </c:pt>
              </c:strCache>
            </c:strRef>
          </c:tx>
          <c:xVal>
            <c:numRef>
              <c:f>Payroll!$B$42:$I$42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Payroll!$B$48:$I$48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1B-46B4-9407-701B7D119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922960"/>
        <c:axId val="694932208"/>
      </c:scatterChart>
      <c:valAx>
        <c:axId val="69492296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694932208"/>
        <c:crosses val="autoZero"/>
        <c:crossBetween val="midCat"/>
      </c:valAx>
      <c:valAx>
        <c:axId val="694932208"/>
        <c:scaling>
          <c:orientation val="minMax"/>
        </c:scaling>
        <c:delete val="0"/>
        <c:axPos val="l"/>
        <c:majorGridlines/>
        <c:title>
          <c:tx>
            <c:strRef>
              <c:f>Payroll!$A$2</c:f>
              <c:strCache>
                <c:ptCount val="1"/>
                <c:pt idx="0">
                  <c:v>Payroll (USD)</c:v>
                </c:pt>
              </c:strCache>
            </c:strRef>
          </c:tx>
          <c:layout>
            <c:manualLayout>
              <c:xMode val="edge"/>
              <c:yMode val="edge"/>
              <c:x val="3.0555555555555555E-2"/>
              <c:y val="0.26839883373780049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694922960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Payroll!$Q$54</c:f>
              <c:strCache>
                <c:ptCount val="1"/>
                <c:pt idx="0">
                  <c:v>Founders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Payroll!$R$53:$W$53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Payroll!$R$54:$W$54</c:f>
              <c:numCache>
                <c:formatCode>[$$-409]#,##0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3-4560-8BC3-CA177D8F76E0}"/>
            </c:ext>
          </c:extLst>
        </c:ser>
        <c:ser>
          <c:idx val="1"/>
          <c:order val="1"/>
          <c:tx>
            <c:strRef>
              <c:f>Payroll!$Q$55</c:f>
              <c:strCache>
                <c:ptCount val="1"/>
                <c:pt idx="0">
                  <c:v>Engineers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Payroll!$R$53:$W$53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Payroll!$R$55:$W$55</c:f>
              <c:numCache>
                <c:formatCode>[$$-409]#,##0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3-4560-8BC3-CA177D8F76E0}"/>
            </c:ext>
          </c:extLst>
        </c:ser>
        <c:ser>
          <c:idx val="2"/>
          <c:order val="2"/>
          <c:tx>
            <c:strRef>
              <c:f>Payroll!$Q$56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Payroll!$R$53:$W$53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Payroll!$R$56:$W$56</c:f>
              <c:numCache>
                <c:formatCode>[$$-409]#,##0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3-4560-8BC3-CA177D8F76E0}"/>
            </c:ext>
          </c:extLst>
        </c:ser>
        <c:ser>
          <c:idx val="3"/>
          <c:order val="3"/>
          <c:tx>
            <c:strRef>
              <c:f>Payroll!$Q$57</c:f>
              <c:strCache>
                <c:ptCount val="1"/>
                <c:pt idx="0">
                  <c:v>Admin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Payroll!$R$53:$W$53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Payroll!$R$57:$W$57</c:f>
              <c:numCache>
                <c:formatCode>[$$-409]#,##0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3-4560-8BC3-CA177D8F76E0}"/>
            </c:ext>
          </c:extLst>
        </c:ser>
        <c:ser>
          <c:idx val="4"/>
          <c:order val="4"/>
          <c:tx>
            <c:strRef>
              <c:f>Payroll!$Q$58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Payroll!$R$53:$W$53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Payroll!$R$58:$W$58</c:f>
              <c:numCache>
                <c:formatCode>[$$-409]#,##0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3-4560-8BC3-CA177D8F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70224"/>
        <c:axId val="1044169136"/>
      </c:areaChart>
      <c:catAx>
        <c:axId val="10441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69136"/>
        <c:crosses val="autoZero"/>
        <c:auto val="1"/>
        <c:lblAlgn val="ctr"/>
        <c:lblOffset val="100"/>
        <c:noMultiLvlLbl val="0"/>
      </c:catAx>
      <c:valAx>
        <c:axId val="104416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70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Operating Costs</a:t>
            </a:r>
            <a:r>
              <a:rPr lang="en-GB" sz="1200" b="0" baseline="0"/>
              <a:t> (excluding payroll)</a:t>
            </a:r>
            <a:endParaRPr lang="en-GB" b="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'Other Operating Expenses'!$Q$26</c:f>
              <c:strCache>
                <c:ptCount val="1"/>
                <c:pt idx="0">
                  <c:v>Initial Startup costs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Expenses'!$R$26:$W$26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0-44C9-80CB-014028382D8F}"/>
            </c:ext>
          </c:extLst>
        </c:ser>
        <c:ser>
          <c:idx val="1"/>
          <c:order val="1"/>
          <c:tx>
            <c:strRef>
              <c:f>'Other Operating Expenses'!$Q$27</c:f>
              <c:strCache>
                <c:ptCount val="1"/>
                <c:pt idx="0">
                  <c:v>Professional Services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Expenses'!$R$27:$W$27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E0-44C9-80CB-014028382D8F}"/>
            </c:ext>
          </c:extLst>
        </c:ser>
        <c:ser>
          <c:idx val="2"/>
          <c:order val="2"/>
          <c:tx>
            <c:strRef>
              <c:f>'Other Operating Expenses'!$Q$28</c:f>
              <c:strCache>
                <c:ptCount val="1"/>
                <c:pt idx="0">
                  <c:v>Office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Expenses'!$R$28:$W$28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E0-44C9-80CB-014028382D8F}"/>
            </c:ext>
          </c:extLst>
        </c:ser>
        <c:ser>
          <c:idx val="3"/>
          <c:order val="3"/>
          <c:tx>
            <c:strRef>
              <c:f>'Other Operating Expenses'!$Q$29</c:f>
              <c:strCache>
                <c:ptCount val="1"/>
                <c:pt idx="0">
                  <c:v>R&amp;D Expenses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Expenses'!$R$29:$W$29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E0-44C9-80CB-014028382D8F}"/>
            </c:ext>
          </c:extLst>
        </c:ser>
        <c:ser>
          <c:idx val="4"/>
          <c:order val="4"/>
          <c:tx>
            <c:strRef>
              <c:f>'Other Operating Expenses'!$Q$30</c:f>
              <c:strCache>
                <c:ptCount val="1"/>
                <c:pt idx="0">
                  <c:v>Sales and Marketing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Expenses'!$R$30:$W$30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E0-44C9-80CB-014028382D8F}"/>
            </c:ext>
          </c:extLst>
        </c:ser>
        <c:ser>
          <c:idx val="5"/>
          <c:order val="5"/>
          <c:tx>
            <c:strRef>
              <c:f>'Other Operating Expenses'!$Q$31</c:f>
              <c:strCache>
                <c:ptCount val="1"/>
                <c:pt idx="0">
                  <c:v>Travel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Expenses'!$R$31:$W$31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E0-44C9-80CB-014028382D8F}"/>
            </c:ext>
          </c:extLst>
        </c:ser>
        <c:ser>
          <c:idx val="6"/>
          <c:order val="6"/>
          <c:tx>
            <c:strRef>
              <c:f>'Other Operating Expenses'!$Q$32</c:f>
              <c:strCache>
                <c:ptCount val="1"/>
                <c:pt idx="0">
                  <c:v>Administrative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Expenses'!$R$32:$W$32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E0-44C9-80CB-014028382D8F}"/>
            </c:ext>
          </c:extLst>
        </c:ser>
        <c:ser>
          <c:idx val="7"/>
          <c:order val="7"/>
          <c:tx>
            <c:strRef>
              <c:f>'Other Operating Expenses'!$Q$33</c:f>
              <c:strCache>
                <c:ptCount val="1"/>
                <c:pt idx="0">
                  <c:v>Other costs</c:v>
                </c:pt>
              </c:strCache>
            </c:strRef>
          </c:tx>
          <c:invertIfNegative val="0"/>
          <c:cat>
            <c:numRef>
              <c:f>'Other Operating Expenses'!$R$25:$W$25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'Other Operating Expenses'!$R$33:$W$33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E0-44C9-80CB-01402838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100"/>
        <c:axId val="1044172400"/>
        <c:axId val="1044168048"/>
      </c:barChart>
      <c:catAx>
        <c:axId val="104417240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68048"/>
        <c:crosses val="autoZero"/>
        <c:auto val="0"/>
        <c:lblAlgn val="ctr"/>
        <c:lblOffset val="100"/>
        <c:noMultiLvlLbl val="0"/>
      </c:catAx>
      <c:valAx>
        <c:axId val="1044168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4172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Quarterly Operating Costs (first two years)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79418197725284"/>
          <c:y val="0.30610523146972218"/>
          <c:w val="0.72775437445319335"/>
          <c:h val="0.316913611605000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'Other Operating Expenses'!$A$19</c:f>
              <c:strCache>
                <c:ptCount val="1"/>
                <c:pt idx="0">
                  <c:v>Initial Startup costs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Expenses'!$B$19:$I$19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3B-40A1-9099-92FA92C29E3D}"/>
            </c:ext>
          </c:extLst>
        </c:ser>
        <c:ser>
          <c:idx val="1"/>
          <c:order val="1"/>
          <c:tx>
            <c:strRef>
              <c:f>'Other Operating Expenses'!$A$20</c:f>
              <c:strCache>
                <c:ptCount val="1"/>
                <c:pt idx="0">
                  <c:v>Professional Services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Expenses'!$B$20:$I$20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3B-40A1-9099-92FA92C29E3D}"/>
            </c:ext>
          </c:extLst>
        </c:ser>
        <c:ser>
          <c:idx val="2"/>
          <c:order val="2"/>
          <c:tx>
            <c:strRef>
              <c:f>'Other Operating Expenses'!$A$21</c:f>
              <c:strCache>
                <c:ptCount val="1"/>
                <c:pt idx="0">
                  <c:v>Office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Expenses'!$B$21:$I$21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3B-40A1-9099-92FA92C29E3D}"/>
            </c:ext>
          </c:extLst>
        </c:ser>
        <c:ser>
          <c:idx val="3"/>
          <c:order val="3"/>
          <c:tx>
            <c:strRef>
              <c:f>'Other Operating Expenses'!$A$22</c:f>
              <c:strCache>
                <c:ptCount val="1"/>
                <c:pt idx="0">
                  <c:v>R&amp;D Expenses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Expenses'!$B$22:$I$22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3B-40A1-9099-92FA92C29E3D}"/>
            </c:ext>
          </c:extLst>
        </c:ser>
        <c:ser>
          <c:idx val="4"/>
          <c:order val="4"/>
          <c:tx>
            <c:strRef>
              <c:f>'Other Operating Expenses'!$A$23</c:f>
              <c:strCache>
                <c:ptCount val="1"/>
                <c:pt idx="0">
                  <c:v>Sales and Marketing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Expenses'!$B$23:$I$23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3B-40A1-9099-92FA92C29E3D}"/>
            </c:ext>
          </c:extLst>
        </c:ser>
        <c:ser>
          <c:idx val="5"/>
          <c:order val="5"/>
          <c:tx>
            <c:strRef>
              <c:f>'Other Operating Expenses'!$A$24</c:f>
              <c:strCache>
                <c:ptCount val="1"/>
                <c:pt idx="0">
                  <c:v>Travel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Expenses'!$B$24:$I$24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3B-40A1-9099-92FA92C29E3D}"/>
            </c:ext>
          </c:extLst>
        </c:ser>
        <c:ser>
          <c:idx val="6"/>
          <c:order val="6"/>
          <c:tx>
            <c:strRef>
              <c:f>'Other Operating Expenses'!$A$25</c:f>
              <c:strCache>
                <c:ptCount val="1"/>
                <c:pt idx="0">
                  <c:v>Administrative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Expenses'!$B$25:$I$25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33B-40A1-9099-92FA92C29E3D}"/>
            </c:ext>
          </c:extLst>
        </c:ser>
        <c:ser>
          <c:idx val="7"/>
          <c:order val="7"/>
          <c:tx>
            <c:strRef>
              <c:f>'Other Operating Expenses'!$A$26</c:f>
              <c:strCache>
                <c:ptCount val="1"/>
                <c:pt idx="0">
                  <c:v>Other costs</c:v>
                </c:pt>
              </c:strCache>
            </c:strRef>
          </c:tx>
          <c:xVal>
            <c:numRef>
              <c:f>'Other Operating Expenses'!$B$18:$I$18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'Other Operating Expenses'!$B$26:$I$26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33B-40A1-9099-92FA92C29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69680"/>
        <c:axId val="1044175120"/>
      </c:scatterChart>
      <c:valAx>
        <c:axId val="104416968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75120"/>
        <c:crosses val="autoZero"/>
        <c:crossBetween val="midCat"/>
      </c:valAx>
      <c:valAx>
        <c:axId val="1044175120"/>
        <c:scaling>
          <c:orientation val="minMax"/>
        </c:scaling>
        <c:delete val="0"/>
        <c:axPos val="l"/>
        <c:majorGridlines/>
        <c:title>
          <c:tx>
            <c:strRef>
              <c:f>'Other Operating Expenses'!$A$2</c:f>
              <c:strCache>
                <c:ptCount val="1"/>
                <c:pt idx="0">
                  <c:v>Operating Expenses (USD)</c:v>
                </c:pt>
              </c:strCache>
            </c:strRef>
          </c:tx>
          <c:layout>
            <c:manualLayout>
              <c:xMode val="edge"/>
              <c:yMode val="edge"/>
              <c:x val="3.3333333333333333E-2"/>
              <c:y val="0.2970725971081572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044169680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layout>
        <c:manualLayout>
          <c:xMode val="edge"/>
          <c:yMode val="edge"/>
          <c:x val="0.19744291338582678"/>
          <c:y val="0.73318206191967938"/>
          <c:w val="0.76622528433945769"/>
          <c:h val="0.23814410295487257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Expenditure - Impact on Cashflow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79418197725284"/>
          <c:y val="0.28404665048797945"/>
          <c:w val="0.7796502624671916"/>
          <c:h val="0.4170085261081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'Capital Expenditures'!$Q$42</c:f>
              <c:strCache>
                <c:ptCount val="1"/>
                <c:pt idx="0">
                  <c:v>Lab Tools</c:v>
                </c:pt>
              </c:strCache>
            </c:strRef>
          </c:tx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Expenditures'!$R$42:$W$42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4-4C48-9F80-23E1C97CBCCA}"/>
            </c:ext>
          </c:extLst>
        </c:ser>
        <c:ser>
          <c:idx val="1"/>
          <c:order val="1"/>
          <c:tx>
            <c:strRef>
              <c:f>'Capital Expenditures'!$Q$43</c:f>
              <c:strCache>
                <c:ptCount val="1"/>
                <c:pt idx="0">
                  <c:v>Product Testing Unit</c:v>
                </c:pt>
              </c:strCache>
            </c:strRef>
          </c:tx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Expenditures'!$R$43:$W$43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4-4C48-9F80-23E1C97CBCCA}"/>
            </c:ext>
          </c:extLst>
        </c:ser>
        <c:ser>
          <c:idx val="2"/>
          <c:order val="2"/>
          <c:tx>
            <c:strRef>
              <c:f>'Capital Expenditures'!$Q$44</c:f>
              <c:strCache>
                <c:ptCount val="1"/>
                <c:pt idx="0">
                  <c:v>Office Furniture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Expenditures'!$R$44:$W$44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4-4C48-9F80-23E1C97CBCCA}"/>
            </c:ext>
          </c:extLst>
        </c:ser>
        <c:ser>
          <c:idx val="3"/>
          <c:order val="3"/>
          <c:tx>
            <c:strRef>
              <c:f>'Capital Expenditures'!$Q$45</c:f>
              <c:strCache>
                <c:ptCount val="1"/>
                <c:pt idx="0">
                  <c:v>Company Vehicle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Expenditures'!$R$45:$W$45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D4-4C48-9F80-23E1C97CBCCA}"/>
            </c:ext>
          </c:extLst>
        </c:ser>
        <c:ser>
          <c:idx val="4"/>
          <c:order val="4"/>
          <c:tx>
            <c:strRef>
              <c:f>'Capital Expenditures'!$Q$46</c:f>
              <c:strCache>
                <c:ptCount val="1"/>
                <c:pt idx="0">
                  <c:v>High Cap Testing Unit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Expenditures'!$R$46:$W$46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D4-4C48-9F80-23E1C97CBCCA}"/>
            </c:ext>
          </c:extLst>
        </c:ser>
        <c:ser>
          <c:idx val="5"/>
          <c:order val="5"/>
          <c:tx>
            <c:strRef>
              <c:f>'Capital Expenditures'!$Q$47</c:f>
              <c:strCache>
                <c:ptCount val="1"/>
                <c:pt idx="0">
                  <c:v>Office Furniture US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Expenditures'!$R$47:$W$47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D4-4C48-9F80-23E1C97CBCCA}"/>
            </c:ext>
          </c:extLst>
        </c:ser>
        <c:ser>
          <c:idx val="6"/>
          <c:order val="6"/>
          <c:tx>
            <c:strRef>
              <c:f>'Capital Expenditures'!$Q$48</c:f>
              <c:strCache>
                <c:ptCount val="1"/>
                <c:pt idx="0">
                  <c:v>Storage Racks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Expenditures'!$R$48:$W$48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D4-4C48-9F80-23E1C97CBCCA}"/>
            </c:ext>
          </c:extLst>
        </c:ser>
        <c:ser>
          <c:idx val="7"/>
          <c:order val="7"/>
          <c:tx>
            <c:strRef>
              <c:f>'Capital Expenditures'!$Q$49</c:f>
              <c:strCache>
                <c:ptCount val="1"/>
                <c:pt idx="0">
                  <c:v>Lab Tools pt 2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Expenditures'!$R$49:$W$49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D4-4C48-9F80-23E1C97CBCCA}"/>
            </c:ext>
          </c:extLst>
        </c:ser>
        <c:ser>
          <c:idx val="8"/>
          <c:order val="8"/>
          <c:tx>
            <c:strRef>
              <c:f>'Capital Expenditures'!$Q$50</c:f>
              <c:strCache>
                <c:ptCount val="1"/>
                <c:pt idx="0">
                  <c:v>Company Vehicle US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Expenditures'!$R$50:$W$50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D4-4C48-9F80-23E1C97CBCCA}"/>
            </c:ext>
          </c:extLst>
        </c:ser>
        <c:ser>
          <c:idx val="9"/>
          <c:order val="9"/>
          <c:tx>
            <c:strRef>
              <c:f>'Capital Expenditures'!$Q$51</c:f>
              <c:strCache>
                <c:ptCount val="1"/>
                <c:pt idx="0">
                  <c:v>Item description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'Capital Expenditures'!$R$41:$W$41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cat>
          <c:val>
            <c:numRef>
              <c:f>'Capital Expenditures'!$R$51:$W$51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D4-4C48-9F80-23E1C97C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100"/>
        <c:axId val="1044159888"/>
        <c:axId val="1044165328"/>
      </c:barChart>
      <c:catAx>
        <c:axId val="1044159888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65328"/>
        <c:crosses val="autoZero"/>
        <c:auto val="0"/>
        <c:lblAlgn val="ctr"/>
        <c:lblOffset val="100"/>
        <c:noMultiLvlLbl val="0"/>
      </c:catAx>
      <c:valAx>
        <c:axId val="1044165328"/>
        <c:scaling>
          <c:orientation val="minMax"/>
        </c:scaling>
        <c:delete val="0"/>
        <c:axPos val="l"/>
        <c:majorGridlines/>
        <c:title>
          <c:tx>
            <c:strRef>
              <c:f>'Capital Expenditures'!$A$2</c:f>
              <c:strCache>
                <c:ptCount val="1"/>
                <c:pt idx="0">
                  <c:v>Capital Expenditure (USD)</c:v>
                </c:pt>
              </c:strCache>
            </c:strRef>
          </c:tx>
          <c:layout>
            <c:manualLayout>
              <c:xMode val="edge"/>
              <c:yMode val="edge"/>
              <c:x val="3.0555555555555555E-2"/>
              <c:y val="0.26839883373780049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044159888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layout>
        <c:manualLayout>
          <c:xMode val="edge"/>
          <c:yMode val="edge"/>
          <c:x val="0.1075"/>
          <c:y val="0.83666672486338323"/>
          <c:w val="0.78500000000000003"/>
          <c:h val="0.13672573633395602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Expenditure - Impact on Balance Sheet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438451443569553"/>
          <c:y val="0.24652317147035796"/>
          <c:w val="0.74631692913385828"/>
          <c:h val="0.437448405253283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'Capital Expenditures'!$Q$60</c:f>
              <c:strCache>
                <c:ptCount val="1"/>
                <c:pt idx="0">
                  <c:v>Lab Tools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Expenditures'!$R$60:$W$60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81-4777-A40B-4911A8246607}"/>
            </c:ext>
          </c:extLst>
        </c:ser>
        <c:ser>
          <c:idx val="1"/>
          <c:order val="1"/>
          <c:tx>
            <c:strRef>
              <c:f>'Capital Expenditures'!$Q$61</c:f>
              <c:strCache>
                <c:ptCount val="1"/>
                <c:pt idx="0">
                  <c:v>Product Testing Unit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Expenditures'!$R$61:$W$61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81-4777-A40B-4911A8246607}"/>
            </c:ext>
          </c:extLst>
        </c:ser>
        <c:ser>
          <c:idx val="2"/>
          <c:order val="2"/>
          <c:tx>
            <c:strRef>
              <c:f>'Capital Expenditures'!$Q$62</c:f>
              <c:strCache>
                <c:ptCount val="1"/>
                <c:pt idx="0">
                  <c:v>Office Furniture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Expenditures'!$R$62:$W$62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81-4777-A40B-4911A8246607}"/>
            </c:ext>
          </c:extLst>
        </c:ser>
        <c:ser>
          <c:idx val="3"/>
          <c:order val="3"/>
          <c:tx>
            <c:strRef>
              <c:f>'Capital Expenditures'!$Q$63</c:f>
              <c:strCache>
                <c:ptCount val="1"/>
                <c:pt idx="0">
                  <c:v>Company Vehicle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Expenditures'!$R$63:$W$63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81-4777-A40B-4911A8246607}"/>
            </c:ext>
          </c:extLst>
        </c:ser>
        <c:ser>
          <c:idx val="4"/>
          <c:order val="4"/>
          <c:tx>
            <c:strRef>
              <c:f>'Capital Expenditures'!$Q$64</c:f>
              <c:strCache>
                <c:ptCount val="1"/>
                <c:pt idx="0">
                  <c:v>High Cap Testing Unit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Expenditures'!$R$64:$W$64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B81-4777-A40B-4911A8246607}"/>
            </c:ext>
          </c:extLst>
        </c:ser>
        <c:ser>
          <c:idx val="5"/>
          <c:order val="5"/>
          <c:tx>
            <c:strRef>
              <c:f>'Capital Expenditures'!$Q$65</c:f>
              <c:strCache>
                <c:ptCount val="1"/>
                <c:pt idx="0">
                  <c:v>Office Furniture US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Expenditures'!$R$65:$W$65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B81-4777-A40B-4911A8246607}"/>
            </c:ext>
          </c:extLst>
        </c:ser>
        <c:ser>
          <c:idx val="6"/>
          <c:order val="6"/>
          <c:tx>
            <c:strRef>
              <c:f>'Capital Expenditures'!$Q$66</c:f>
              <c:strCache>
                <c:ptCount val="1"/>
                <c:pt idx="0">
                  <c:v>Storage Racks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Expenditures'!$R$66:$W$66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B81-4777-A40B-4911A8246607}"/>
            </c:ext>
          </c:extLst>
        </c:ser>
        <c:ser>
          <c:idx val="7"/>
          <c:order val="7"/>
          <c:tx>
            <c:strRef>
              <c:f>'Capital Expenditures'!$Q$67</c:f>
              <c:strCache>
                <c:ptCount val="1"/>
                <c:pt idx="0">
                  <c:v>Lab Tools pt 2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Expenditures'!$R$67:$W$67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B81-4777-A40B-4911A8246607}"/>
            </c:ext>
          </c:extLst>
        </c:ser>
        <c:ser>
          <c:idx val="8"/>
          <c:order val="8"/>
          <c:tx>
            <c:strRef>
              <c:f>'Capital Expenditures'!$Q$68</c:f>
              <c:strCache>
                <c:ptCount val="1"/>
                <c:pt idx="0">
                  <c:v>Company Vehicle US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Expenditures'!$R$68:$W$68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B81-4777-A40B-4911A8246607}"/>
            </c:ext>
          </c:extLst>
        </c:ser>
        <c:ser>
          <c:idx val="9"/>
          <c:order val="9"/>
          <c:tx>
            <c:strRef>
              <c:f>'Capital Expenditures'!$Q$69</c:f>
              <c:strCache>
                <c:ptCount val="1"/>
                <c:pt idx="0">
                  <c:v>Item description</c:v>
                </c:pt>
              </c:strCache>
            </c:strRef>
          </c:tx>
          <c:xVal>
            <c:numRef>
              <c:f>'Capital Expenditures'!$R$59:$W$59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Expenditures'!$R$69:$W$69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B81-4777-A40B-4911A824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64784"/>
        <c:axId val="1044174576"/>
      </c:scatterChart>
      <c:valAx>
        <c:axId val="1044164784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74576"/>
        <c:crosses val="autoZero"/>
        <c:crossBetween val="midCat"/>
      </c:valAx>
      <c:valAx>
        <c:axId val="10441745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Capital Asset Value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332188621825648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4164784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layout>
        <c:manualLayout>
          <c:xMode val="edge"/>
          <c:yMode val="edge"/>
          <c:x val="0.1075"/>
          <c:y val="0.80869458945126316"/>
          <c:w val="0.89249999999999996"/>
          <c:h val="0.19130541054873684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Expenditure - Depreciation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049562554680664"/>
          <c:y val="0.24652317147035796"/>
          <c:w val="0.76020581802274712"/>
          <c:h val="0.437448405253283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'Capital Expenditures'!$Q$24</c:f>
              <c:strCache>
                <c:ptCount val="1"/>
                <c:pt idx="0">
                  <c:v>Lab Tools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Expenditures'!$R$24:$W$24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CF-4BA8-AD6A-25A1D685FC70}"/>
            </c:ext>
          </c:extLst>
        </c:ser>
        <c:ser>
          <c:idx val="1"/>
          <c:order val="1"/>
          <c:tx>
            <c:strRef>
              <c:f>'Capital Expenditures'!$Q$25</c:f>
              <c:strCache>
                <c:ptCount val="1"/>
                <c:pt idx="0">
                  <c:v>Product Testing Unit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Expenditures'!$R$25:$W$25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CF-4BA8-AD6A-25A1D685FC70}"/>
            </c:ext>
          </c:extLst>
        </c:ser>
        <c:ser>
          <c:idx val="2"/>
          <c:order val="2"/>
          <c:tx>
            <c:strRef>
              <c:f>'Capital Expenditures'!$Q$26</c:f>
              <c:strCache>
                <c:ptCount val="1"/>
                <c:pt idx="0">
                  <c:v>Office Furniture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Expenditures'!$R$26:$W$26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CF-4BA8-AD6A-25A1D685FC70}"/>
            </c:ext>
          </c:extLst>
        </c:ser>
        <c:ser>
          <c:idx val="3"/>
          <c:order val="3"/>
          <c:tx>
            <c:strRef>
              <c:f>'Capital Expenditures'!$Q$27</c:f>
              <c:strCache>
                <c:ptCount val="1"/>
                <c:pt idx="0">
                  <c:v>Company Vehicle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Expenditures'!$R$27:$W$27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CF-4BA8-AD6A-25A1D685FC70}"/>
            </c:ext>
          </c:extLst>
        </c:ser>
        <c:ser>
          <c:idx val="4"/>
          <c:order val="4"/>
          <c:tx>
            <c:strRef>
              <c:f>'Capital Expenditures'!$Q$28</c:f>
              <c:strCache>
                <c:ptCount val="1"/>
                <c:pt idx="0">
                  <c:v>High Cap Testing Unit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Expenditures'!$R$28:$W$28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FCF-4BA8-AD6A-25A1D685FC70}"/>
            </c:ext>
          </c:extLst>
        </c:ser>
        <c:ser>
          <c:idx val="5"/>
          <c:order val="5"/>
          <c:tx>
            <c:strRef>
              <c:f>'Capital Expenditures'!$Q$29</c:f>
              <c:strCache>
                <c:ptCount val="1"/>
                <c:pt idx="0">
                  <c:v>Office Furniture US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Expenditures'!$R$29:$W$29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FCF-4BA8-AD6A-25A1D685FC70}"/>
            </c:ext>
          </c:extLst>
        </c:ser>
        <c:ser>
          <c:idx val="6"/>
          <c:order val="6"/>
          <c:tx>
            <c:strRef>
              <c:f>'Capital Expenditures'!$Q$30</c:f>
              <c:strCache>
                <c:ptCount val="1"/>
                <c:pt idx="0">
                  <c:v>Storage Racks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Expenditures'!$R$30:$W$30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FCF-4BA8-AD6A-25A1D685FC70}"/>
            </c:ext>
          </c:extLst>
        </c:ser>
        <c:ser>
          <c:idx val="7"/>
          <c:order val="7"/>
          <c:tx>
            <c:strRef>
              <c:f>'Capital Expenditures'!$Q$31</c:f>
              <c:strCache>
                <c:ptCount val="1"/>
                <c:pt idx="0">
                  <c:v>Lab Tools pt 2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Expenditures'!$R$31:$W$31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FCF-4BA8-AD6A-25A1D685FC70}"/>
            </c:ext>
          </c:extLst>
        </c:ser>
        <c:ser>
          <c:idx val="8"/>
          <c:order val="8"/>
          <c:tx>
            <c:strRef>
              <c:f>'Capital Expenditures'!$Q$32</c:f>
              <c:strCache>
                <c:ptCount val="1"/>
                <c:pt idx="0">
                  <c:v>Company Vehicle US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Expenditures'!$R$32:$W$32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FCF-4BA8-AD6A-25A1D685FC70}"/>
            </c:ext>
          </c:extLst>
        </c:ser>
        <c:ser>
          <c:idx val="9"/>
          <c:order val="9"/>
          <c:tx>
            <c:strRef>
              <c:f>'Capital Expenditures'!$Q$33</c:f>
              <c:strCache>
                <c:ptCount val="1"/>
                <c:pt idx="0">
                  <c:v>Item description</c:v>
                </c:pt>
              </c:strCache>
            </c:strRef>
          </c:tx>
          <c:xVal>
            <c:numRef>
              <c:f>'Capital Expenditures'!$R$23:$W$23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'Capital Expenditures'!$R$33:$W$33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FCF-4BA8-AD6A-25A1D685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71856"/>
        <c:axId val="1044160976"/>
      </c:scatterChart>
      <c:valAx>
        <c:axId val="104417185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60976"/>
        <c:crosses val="autoZero"/>
        <c:crossBetween val="midCat"/>
      </c:valAx>
      <c:valAx>
        <c:axId val="1044160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Depreciation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332188621825648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4171856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layout>
        <c:manualLayout>
          <c:xMode val="edge"/>
          <c:yMode val="edge"/>
          <c:x val="0.1075"/>
          <c:y val="0.8325883926671328"/>
          <c:w val="0.89249999999999996"/>
          <c:h val="0.16741160733286717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Quarterly Expenses by Type (first</a:t>
            </a:r>
            <a:r>
              <a:rPr lang="en-GB" baseline="0"/>
              <a:t> two years)</a:t>
            </a:r>
            <a:endParaRPr lang="en-GB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'Total Expenses'!$A$9</c:f>
              <c:strCache>
                <c:ptCount val="1"/>
                <c:pt idx="0">
                  <c:v>COGS</c:v>
                </c:pt>
              </c:strCache>
            </c:strRef>
          </c:tx>
          <c:xVal>
            <c:numRef>
              <c:f>'Total Expenses'!$B$8:$I$8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'Total Expenses'!$B$9:$I$9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E6-49A1-8876-D222FDD02AA3}"/>
            </c:ext>
          </c:extLst>
        </c:ser>
        <c:ser>
          <c:idx val="1"/>
          <c:order val="1"/>
          <c:tx>
            <c:strRef>
              <c:f>'Total Expenses'!$A$10</c:f>
              <c:strCache>
                <c:ptCount val="1"/>
                <c:pt idx="0">
                  <c:v>Operating Expenses (incl. payroll)</c:v>
                </c:pt>
              </c:strCache>
            </c:strRef>
          </c:tx>
          <c:xVal>
            <c:numRef>
              <c:f>'Total Expenses'!$B$8:$I$8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'Total Expenses'!$B$10:$I$10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E6-49A1-8876-D222FDD02AA3}"/>
            </c:ext>
          </c:extLst>
        </c:ser>
        <c:ser>
          <c:idx val="3"/>
          <c:order val="2"/>
          <c:tx>
            <c:strRef>
              <c:f>'Total Expenses'!$A$11</c:f>
              <c:strCache>
                <c:ptCount val="1"/>
                <c:pt idx="0">
                  <c:v>Depreciation and Amortization</c:v>
                </c:pt>
              </c:strCache>
            </c:strRef>
          </c:tx>
          <c:xVal>
            <c:numRef>
              <c:f>'Total Expenses'!$B$8:$I$8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'Total Expenses'!$B$11:$I$11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E6-49A1-8876-D222FDD0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65872"/>
        <c:axId val="1044166416"/>
      </c:scatterChart>
      <c:valAx>
        <c:axId val="104416587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66416"/>
        <c:crosses val="autoZero"/>
        <c:crossBetween val="midCat"/>
      </c:valAx>
      <c:valAx>
        <c:axId val="1044166416"/>
        <c:scaling>
          <c:orientation val="minMax"/>
        </c:scaling>
        <c:delete val="0"/>
        <c:axPos val="l"/>
        <c:majorGridlines/>
        <c:title>
          <c:tx>
            <c:strRef>
              <c:f>'Total Expenses'!$A$2</c:f>
              <c:strCache>
                <c:ptCount val="1"/>
                <c:pt idx="0">
                  <c:v>Expenses (USD)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£&quot;#,##0" sourceLinked="0"/>
        <c:majorTickMark val="out"/>
        <c:minorTickMark val="none"/>
        <c:tickLblPos val="nextTo"/>
        <c:crossAx val="1044165872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Expenses by Type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'Total Expenses'!$Q$25</c:f>
              <c:strCache>
                <c:ptCount val="1"/>
                <c:pt idx="0">
                  <c:v>COGS</c:v>
                </c:pt>
              </c:strCache>
            </c:strRef>
          </c:tx>
          <c:xVal>
            <c:numRef>
              <c:f>'Total Expenses'!$R$24:$W$24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'Total Expenses'!$R$25:$W$25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77-4094-8E08-CD60AEA1642E}"/>
            </c:ext>
          </c:extLst>
        </c:ser>
        <c:ser>
          <c:idx val="1"/>
          <c:order val="1"/>
          <c:tx>
            <c:strRef>
              <c:f>'Total Expenses'!$Q$26</c:f>
              <c:strCache>
                <c:ptCount val="1"/>
                <c:pt idx="0">
                  <c:v>Operating Expenses (incl. payroll)</c:v>
                </c:pt>
              </c:strCache>
            </c:strRef>
          </c:tx>
          <c:xVal>
            <c:numRef>
              <c:f>'Total Expenses'!$R$24:$W$24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'Total Expenses'!$R$26:$W$26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77-4094-8E08-CD60AEA1642E}"/>
            </c:ext>
          </c:extLst>
        </c:ser>
        <c:ser>
          <c:idx val="3"/>
          <c:order val="2"/>
          <c:tx>
            <c:strRef>
              <c:f>'Total Expenses'!$Q$27</c:f>
              <c:strCache>
                <c:ptCount val="1"/>
                <c:pt idx="0">
                  <c:v>Depreciation and Amortization</c:v>
                </c:pt>
              </c:strCache>
            </c:strRef>
          </c:tx>
          <c:xVal>
            <c:numRef>
              <c:f>'Total Expenses'!$R$24:$W$24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'Total Expenses'!$R$27:$W$27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77-4094-8E08-CD60AEA1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60432"/>
        <c:axId val="1044166960"/>
      </c:scatterChart>
      <c:valAx>
        <c:axId val="104416043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1044166960"/>
        <c:crosses val="autoZero"/>
        <c:crossBetween val="midCat"/>
      </c:valAx>
      <c:valAx>
        <c:axId val="1044166960"/>
        <c:scaling>
          <c:orientation val="minMax"/>
        </c:scaling>
        <c:delete val="0"/>
        <c:axPos val="l"/>
        <c:majorGridlines/>
        <c:title>
          <c:tx>
            <c:strRef>
              <c:f>'Top-Down'!$A$2</c:f>
              <c:strCache>
                <c:ptCount val="1"/>
                <c:pt idx="0">
                  <c:v>Revenues (USD)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044160432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Revenues by Product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'Top-Down'!$Q$25</c:f>
              <c:strCache>
                <c:ptCount val="1"/>
                <c:pt idx="0">
                  <c:v>Market 1</c:v>
                </c:pt>
              </c:strCache>
            </c:strRef>
          </c:tx>
          <c:xVal>
            <c:numRef>
              <c:f>'Top-Down'!$R$24:$W$24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'Top-Down'!$R$25:$W$25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0C-4CFF-9BAE-ED70643FE7C0}"/>
            </c:ext>
          </c:extLst>
        </c:ser>
        <c:ser>
          <c:idx val="1"/>
          <c:order val="1"/>
          <c:tx>
            <c:strRef>
              <c:f>'Top-Down'!$Q$26</c:f>
              <c:strCache>
                <c:ptCount val="1"/>
                <c:pt idx="0">
                  <c:v>Market 2</c:v>
                </c:pt>
              </c:strCache>
            </c:strRef>
          </c:tx>
          <c:xVal>
            <c:numRef>
              <c:f>'Top-Down'!$R$24:$W$24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'Top-Down'!$R$26:$W$26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0C-4CFF-9BAE-ED70643FE7C0}"/>
            </c:ext>
          </c:extLst>
        </c:ser>
        <c:ser>
          <c:idx val="2"/>
          <c:order val="2"/>
          <c:tx>
            <c:strRef>
              <c:f>'Top-Down'!$Q$27</c:f>
              <c:strCache>
                <c:ptCount val="1"/>
                <c:pt idx="0">
                  <c:v>Market 3</c:v>
                </c:pt>
              </c:strCache>
            </c:strRef>
          </c:tx>
          <c:xVal>
            <c:numRef>
              <c:f>'Top-Down'!$R$24:$W$24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'Top-Down'!$R$27:$W$27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0C-4CFF-9BAE-ED70643F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0992"/>
        <c:axId val="972216432"/>
      </c:scatterChart>
      <c:valAx>
        <c:axId val="97221099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72216432"/>
        <c:crosses val="autoZero"/>
        <c:crossBetween val="midCat"/>
      </c:valAx>
      <c:valAx>
        <c:axId val="972216432"/>
        <c:scaling>
          <c:orientation val="minMax"/>
        </c:scaling>
        <c:delete val="0"/>
        <c:axPos val="l"/>
        <c:majorGridlines/>
        <c:title>
          <c:tx>
            <c:strRef>
              <c:f>'Top-Down'!$A$2</c:f>
              <c:strCache>
                <c:ptCount val="1"/>
                <c:pt idx="0">
                  <c:v>Revenues (USD)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0992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 charts'!$A$4</c:f>
              <c:strCache>
                <c:ptCount val="1"/>
                <c:pt idx="0">
                  <c:v>Cash flows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'Cash flow charts'!$B$3:$H$3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'Cash flow charts'!$B$4:$H$4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9-4DE1-97B0-6F272A6F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044170768"/>
        <c:axId val="1044162064"/>
      </c:lineChart>
      <c:catAx>
        <c:axId val="10441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62064"/>
        <c:crosses val="autoZero"/>
        <c:auto val="1"/>
        <c:lblAlgn val="ctr"/>
        <c:lblOffset val="100"/>
        <c:noMultiLvlLbl val="0"/>
      </c:catAx>
      <c:valAx>
        <c:axId val="1044162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70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 charts'!$A$6</c:f>
              <c:strCache>
                <c:ptCount val="1"/>
                <c:pt idx="0">
                  <c:v>Ending cash balance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'Cash flow charts'!$B$5:$H$5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'Cash flow charts'!$B$6:$H$6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DD5-8FCE-83F21163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044161520"/>
        <c:axId val="1044172944"/>
      </c:lineChart>
      <c:catAx>
        <c:axId val="104416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72944"/>
        <c:crosses val="autoZero"/>
        <c:auto val="1"/>
        <c:lblAlgn val="ctr"/>
        <c:lblOffset val="100"/>
        <c:noMultiLvlLbl val="0"/>
      </c:catAx>
      <c:valAx>
        <c:axId val="1044172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6152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 charts'!$A$27</c:f>
              <c:strCache>
                <c:ptCount val="1"/>
                <c:pt idx="0">
                  <c:v>Beginning cash balance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'Cash flow charts'!$B$26:$J$26</c:f>
              <c:strCache>
                <c:ptCount val="9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</c:v>
                </c:pt>
                <c:pt idx="4">
                  <c:v>Q1 2021</c:v>
                </c:pt>
                <c:pt idx="5">
                  <c:v>Q2 2021</c:v>
                </c:pt>
                <c:pt idx="6">
                  <c:v>Q3 2021</c:v>
                </c:pt>
                <c:pt idx="7">
                  <c:v>Q4 2021</c:v>
                </c:pt>
                <c:pt idx="8">
                  <c:v>Q1 2022</c:v>
                </c:pt>
              </c:strCache>
            </c:strRef>
          </c:cat>
          <c:val>
            <c:numRef>
              <c:f>'Cash flow charts'!$B$27:$J$27</c:f>
              <c:numCache>
                <c:formatCode>#,##0_);\(#,##0\)</c:formatCode>
                <c:ptCount val="9"/>
                <c:pt idx="0" formatCode="General">
                  <c:v>500000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5D5-93E9-1FACAE6B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044164240"/>
        <c:axId val="1044174032"/>
      </c:lineChart>
      <c:catAx>
        <c:axId val="10441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74032"/>
        <c:crosses val="autoZero"/>
        <c:auto val="1"/>
        <c:lblAlgn val="ctr"/>
        <c:lblOffset val="100"/>
        <c:noMultiLvlLbl val="0"/>
      </c:catAx>
      <c:valAx>
        <c:axId val="104417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6424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Measures of Company</a:t>
            </a:r>
            <a:r>
              <a:rPr lang="en-GB" baseline="0"/>
              <a:t> Profitability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804534215831719"/>
          <c:y val="0.15733784889792005"/>
          <c:w val="0.76287935720973588"/>
          <c:h val="0.58571353525212611"/>
        </c:manualLayout>
      </c:layout>
      <c:scatterChart>
        <c:scatterStyle val="lineMarker"/>
        <c:varyColors val="0"/>
        <c:ser>
          <c:idx val="1"/>
          <c:order val="0"/>
          <c:tx>
            <c:strRef>
              <c:f>'Additional Charts'!$Q$8</c:f>
              <c:strCache>
                <c:ptCount val="1"/>
                <c:pt idx="0">
                  <c:v>Gross Profit</c:v>
                </c:pt>
              </c:strCache>
            </c:strRef>
          </c:tx>
          <c:xVal>
            <c:numRef>
              <c:f>'Additional Charts'!$R$7:$W$7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'Additional Charts'!$R$8:$W$8</c:f>
              <c:numCache>
                <c:formatCode>#,##0_);\(#,##0\)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59-47F1-9F37-2F4F24FB5CEC}"/>
            </c:ext>
          </c:extLst>
        </c:ser>
        <c:ser>
          <c:idx val="0"/>
          <c:order val="1"/>
          <c:tx>
            <c:strRef>
              <c:f>'Additional Charts'!$Q$9</c:f>
              <c:strCache>
                <c:ptCount val="1"/>
                <c:pt idx="0">
                  <c:v>EBITDA</c:v>
                </c:pt>
              </c:strCache>
            </c:strRef>
          </c:tx>
          <c:xVal>
            <c:numRef>
              <c:f>'Additional Charts'!$R$7:$W$7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'Additional Charts'!$R$9:$W$9</c:f>
              <c:numCache>
                <c:formatCode>#,##0_);\(#,##0\)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59-47F1-9F37-2F4F24FB5CEC}"/>
            </c:ext>
          </c:extLst>
        </c:ser>
        <c:ser>
          <c:idx val="2"/>
          <c:order val="2"/>
          <c:tx>
            <c:strRef>
              <c:f>'Additional Charts'!$Q$10</c:f>
              <c:strCache>
                <c:ptCount val="1"/>
                <c:pt idx="0">
                  <c:v>Operating Profit (EBIT)</c:v>
                </c:pt>
              </c:strCache>
            </c:strRef>
          </c:tx>
          <c:xVal>
            <c:numRef>
              <c:f>'Additional Charts'!$R$7:$W$7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'Additional Charts'!$R$10:$W$10</c:f>
              <c:numCache>
                <c:formatCode>#,##0_);\(#,##0\)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59-47F1-9F37-2F4F24FB5CEC}"/>
            </c:ext>
          </c:extLst>
        </c:ser>
        <c:ser>
          <c:idx val="3"/>
          <c:order val="3"/>
          <c:tx>
            <c:strRef>
              <c:f>'Additional Charts'!$Q$11</c:f>
              <c:strCache>
                <c:ptCount val="1"/>
                <c:pt idx="0">
                  <c:v>Profit before Tax</c:v>
                </c:pt>
              </c:strCache>
            </c:strRef>
          </c:tx>
          <c:xVal>
            <c:numRef>
              <c:f>'Additional Charts'!$R$7:$W$7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'Additional Charts'!$R$11:$W$11</c:f>
              <c:numCache>
                <c:formatCode>#,##0_);\(#,##0\)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59-47F1-9F37-2F4F24FB5CEC}"/>
            </c:ext>
          </c:extLst>
        </c:ser>
        <c:ser>
          <c:idx val="4"/>
          <c:order val="4"/>
          <c:tx>
            <c:strRef>
              <c:f>'Additional Charts'!$Q$12</c:f>
              <c:strCache>
                <c:ptCount val="1"/>
                <c:pt idx="0">
                  <c:v>Profit after Tax (Net Income)</c:v>
                </c:pt>
              </c:strCache>
            </c:strRef>
          </c:tx>
          <c:xVal>
            <c:numRef>
              <c:f>'Additional Charts'!$R$7:$W$7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'Additional Charts'!$R$12:$W$12</c:f>
              <c:numCache>
                <c:formatCode>#,##0_);\(#,##0\)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59-47F1-9F37-2F4F24FB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71312"/>
        <c:axId val="1044173488"/>
      </c:scatterChart>
      <c:valAx>
        <c:axId val="104417131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low"/>
        <c:txPr>
          <a:bodyPr/>
          <a:lstStyle/>
          <a:p>
            <a:pPr algn="ctr">
              <a:defRPr lang="en-GB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173488"/>
        <c:crosses val="autoZero"/>
        <c:crossBetween val="midCat"/>
      </c:valAx>
      <c:valAx>
        <c:axId val="1044173488"/>
        <c:scaling>
          <c:orientation val="minMax"/>
        </c:scaling>
        <c:delete val="0"/>
        <c:axPos val="l"/>
        <c:majorGridlines/>
        <c:title>
          <c:tx>
            <c:strRef>
              <c:f>'Additional Charts'!$A$2</c:f>
              <c:strCache>
                <c:ptCount val="1"/>
                <c:pt idx="0">
                  <c:v>USD</c:v>
                </c:pt>
              </c:strCache>
            </c:strRef>
          </c:tx>
          <c:layout>
            <c:manualLayout>
              <c:xMode val="edge"/>
              <c:yMode val="edge"/>
              <c:x val="1.8932481265928714E-2"/>
              <c:y val="0.38379996048880993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044171312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Cash Flows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360438020682619"/>
          <c:y val="0.15278329383593231"/>
          <c:w val="0.67988699188230095"/>
          <c:h val="0.62026704025534374"/>
        </c:manualLayout>
      </c:layout>
      <c:scatterChart>
        <c:scatterStyle val="lineMarker"/>
        <c:varyColors val="0"/>
        <c:ser>
          <c:idx val="22"/>
          <c:order val="0"/>
          <c:tx>
            <c:strRef>
              <c:f>'Additional Charts'!$A$44</c:f>
              <c:strCache>
                <c:ptCount val="1"/>
                <c:pt idx="0">
                  <c:v>Cash Flow</c:v>
                </c:pt>
              </c:strCache>
            </c:strRef>
          </c:tx>
          <c:spPr>
            <a:ln w="28575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'Additional Charts'!$B$43:$R$43</c:f>
              <c:numCache>
                <c:formatCode>dd-mm-yy</c:formatCode>
                <c:ptCount val="17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44012</c:v>
                </c:pt>
                <c:pt idx="4">
                  <c:v>44104</c:v>
                </c:pt>
                <c:pt idx="5">
                  <c:v>44195</c:v>
                </c:pt>
                <c:pt idx="6">
                  <c:v>44196</c:v>
                </c:pt>
                <c:pt idx="7">
                  <c:v>44197</c:v>
                </c:pt>
                <c:pt idx="9">
                  <c:v>44198</c:v>
                </c:pt>
                <c:pt idx="10">
                  <c:v>44377</c:v>
                </c:pt>
                <c:pt idx="11">
                  <c:v>44469</c:v>
                </c:pt>
                <c:pt idx="12">
                  <c:v>44560</c:v>
                </c:pt>
                <c:pt idx="13">
                  <c:v>44650</c:v>
                </c:pt>
                <c:pt idx="14">
                  <c:v>45015</c:v>
                </c:pt>
                <c:pt idx="15">
                  <c:v>45381</c:v>
                </c:pt>
                <c:pt idx="16">
                  <c:v>45746</c:v>
                </c:pt>
              </c:numCache>
            </c:numRef>
          </c:xVal>
          <c:yVal>
            <c:numRef>
              <c:f>'Additional Charts'!$B$44:$R$44</c:f>
              <c:numCache>
                <c:formatCode>General</c:formatCode>
                <c:ptCount val="17"/>
                <c:pt idx="0">
                  <c:v>0</c:v>
                </c:pt>
                <c:pt idx="1">
                  <c:v>500000</c:v>
                </c:pt>
                <c:pt idx="2">
                  <c:v>-500000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2000000</c:v>
                </c:pt>
                <c:pt idx="9">
                  <c:v>-2000000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C-4EDA-AEED-3BB56C2DD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62608"/>
        <c:axId val="1044163152"/>
      </c:scatterChart>
      <c:valAx>
        <c:axId val="1044162608"/>
        <c:scaling>
          <c:orientation val="minMax"/>
        </c:scaling>
        <c:delete val="0"/>
        <c:axPos val="b"/>
        <c:numFmt formatCode="[$-809]mmm\ yyyy;@" sourceLinked="0"/>
        <c:majorTickMark val="out"/>
        <c:minorTickMark val="none"/>
        <c:tickLblPos val="low"/>
        <c:crossAx val="1044163152"/>
        <c:crosses val="autoZero"/>
        <c:crossBetween val="midCat"/>
      </c:valAx>
      <c:valAx>
        <c:axId val="104416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Cash Flow (USD)</a:t>
                </a:r>
              </a:p>
            </c:rich>
          </c:tx>
          <c:layout>
            <c:manualLayout>
              <c:xMode val="edge"/>
              <c:yMode val="edge"/>
              <c:x val="3.0769230769230771E-2"/>
              <c:y val="0.3814421800639528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044162608"/>
        <c:crosses val="autoZero"/>
        <c:crossBetween val="midCat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Cash Balances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391177715688766"/>
          <c:y val="0.15740223484005372"/>
          <c:w val="0.65878723224113112"/>
          <c:h val="0.61564809925122244"/>
        </c:manualLayout>
      </c:layout>
      <c:scatterChart>
        <c:scatterStyle val="lineMarker"/>
        <c:varyColors val="0"/>
        <c:ser>
          <c:idx val="1"/>
          <c:order val="0"/>
          <c:tx>
            <c:strRef>
              <c:f>'Additional Charts'!$A$45</c:f>
              <c:strCache>
                <c:ptCount val="1"/>
                <c:pt idx="0">
                  <c:v>Ending Cash Balance</c:v>
                </c:pt>
              </c:strCache>
            </c:strRef>
          </c:tx>
          <c:spPr>
            <a:ln w="28575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'Additional Charts'!$B$43:$R$43</c:f>
              <c:numCache>
                <c:formatCode>dd-mm-yy</c:formatCode>
                <c:ptCount val="17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44012</c:v>
                </c:pt>
                <c:pt idx="4">
                  <c:v>44104</c:v>
                </c:pt>
                <c:pt idx="5">
                  <c:v>44195</c:v>
                </c:pt>
                <c:pt idx="6">
                  <c:v>44196</c:v>
                </c:pt>
                <c:pt idx="7">
                  <c:v>44197</c:v>
                </c:pt>
                <c:pt idx="9">
                  <c:v>44198</c:v>
                </c:pt>
                <c:pt idx="10">
                  <c:v>44377</c:v>
                </c:pt>
                <c:pt idx="11">
                  <c:v>44469</c:v>
                </c:pt>
                <c:pt idx="12">
                  <c:v>44560</c:v>
                </c:pt>
                <c:pt idx="13">
                  <c:v>44650</c:v>
                </c:pt>
                <c:pt idx="14">
                  <c:v>45015</c:v>
                </c:pt>
                <c:pt idx="15">
                  <c:v>45381</c:v>
                </c:pt>
                <c:pt idx="16">
                  <c:v>45746</c:v>
                </c:pt>
              </c:numCache>
            </c:numRef>
          </c:xVal>
          <c:yVal>
            <c:numRef>
              <c:f>'Additional Charts'!$B$45:$R$45</c:f>
              <c:numCache>
                <c:formatCode>General</c:formatCode>
                <c:ptCount val="17"/>
                <c:pt idx="0">
                  <c:v>0</c:v>
                </c:pt>
                <c:pt idx="1">
                  <c:v>500000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A3-492B-940B-6155FAF8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67504"/>
        <c:axId val="1044163696"/>
      </c:scatterChart>
      <c:valAx>
        <c:axId val="1044167504"/>
        <c:scaling>
          <c:orientation val="minMax"/>
        </c:scaling>
        <c:delete val="0"/>
        <c:axPos val="b"/>
        <c:numFmt formatCode="[$-809]mmm\ yyyy;@" sourceLinked="0"/>
        <c:majorTickMark val="out"/>
        <c:minorTickMark val="none"/>
        <c:tickLblPos val="low"/>
        <c:crossAx val="1044163696"/>
        <c:crosses val="autoZero"/>
        <c:crossBetween val="midCat"/>
      </c:valAx>
      <c:valAx>
        <c:axId val="1044163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Cash Flow (USD)</a:t>
                </a:r>
              </a:p>
            </c:rich>
          </c:tx>
          <c:layout>
            <c:manualLayout>
              <c:xMode val="edge"/>
              <c:yMode val="edge"/>
              <c:x val="3.8095238095238099E-2"/>
              <c:y val="0.3675855085999589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044167504"/>
        <c:crosses val="autoZero"/>
        <c:crossBetween val="midCat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Quarterly Revenues (first two years)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'Bottom-Up'!$A$24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'Bottom-Up'!$B$23:$I$23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'Bottom-Up'!$B$24:$I$24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94-4926-A842-BA030FC975C2}"/>
            </c:ext>
          </c:extLst>
        </c:ser>
        <c:ser>
          <c:idx val="1"/>
          <c:order val="1"/>
          <c:tx>
            <c:strRef>
              <c:f>'Bottom-Up'!$A$25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'Bottom-Up'!$B$23:$I$23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'Bottom-Up'!$B$25:$I$25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94-4926-A842-BA030FC975C2}"/>
            </c:ext>
          </c:extLst>
        </c:ser>
        <c:ser>
          <c:idx val="2"/>
          <c:order val="2"/>
          <c:tx>
            <c:strRef>
              <c:f>'Bottom-Up'!$A$26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'Bottom-Up'!$B$23:$I$23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'Bottom-Up'!$B$26:$I$26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94-4926-A842-BA030FC9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9152"/>
        <c:axId val="972208272"/>
      </c:scatterChart>
      <c:valAx>
        <c:axId val="97221915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72208272"/>
        <c:crosses val="autoZero"/>
        <c:crossBetween val="midCat"/>
      </c:valAx>
      <c:valAx>
        <c:axId val="972208272"/>
        <c:scaling>
          <c:orientation val="minMax"/>
        </c:scaling>
        <c:delete val="0"/>
        <c:axPos val="l"/>
        <c:majorGridlines/>
        <c:title>
          <c:tx>
            <c:strRef>
              <c:f>'Bottom-Up'!$A$2</c:f>
              <c:strCache>
                <c:ptCount val="1"/>
                <c:pt idx="0">
                  <c:v>Revenues (USD)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9152"/>
        <c:crosses val="autoZero"/>
        <c:crossBetween val="midCat"/>
        <c:dispUnits>
          <c:builtInUnit val="thousand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Revenues by Product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'Bottom-Up'!$Q$24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'Bottom-Up'!$R$23:$W$23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'Bottom-Up'!$R$24:$W$24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A9-4DAB-B930-4B29EA787E36}"/>
            </c:ext>
          </c:extLst>
        </c:ser>
        <c:ser>
          <c:idx val="1"/>
          <c:order val="1"/>
          <c:tx>
            <c:strRef>
              <c:f>'Bottom-Up'!$Q$25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'Bottom-Up'!$R$23:$W$23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'Bottom-Up'!$R$25:$W$25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9-4DAB-B930-4B29EA787E36}"/>
            </c:ext>
          </c:extLst>
        </c:ser>
        <c:ser>
          <c:idx val="2"/>
          <c:order val="2"/>
          <c:tx>
            <c:strRef>
              <c:f>'Bottom-Up'!$Q$26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'Bottom-Up'!$R$23:$W$23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'Bottom-Up'!$R$26:$W$26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A9-4DAB-B930-4B29EA787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8064"/>
        <c:axId val="972207184"/>
      </c:scatterChart>
      <c:valAx>
        <c:axId val="972218064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72207184"/>
        <c:crosses val="autoZero"/>
        <c:crossBetween val="midCat"/>
      </c:valAx>
      <c:valAx>
        <c:axId val="972207184"/>
        <c:scaling>
          <c:orientation val="minMax"/>
        </c:scaling>
        <c:delete val="0"/>
        <c:axPos val="l"/>
        <c:majorGridlines/>
        <c:title>
          <c:tx>
            <c:strRef>
              <c:f>'Top-Down'!$A$2</c:f>
              <c:strCache>
                <c:ptCount val="1"/>
                <c:pt idx="0">
                  <c:v>Revenues (USD)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8064"/>
        <c:crosses val="autoZero"/>
        <c:crossBetween val="midCat"/>
        <c:dispUnits>
          <c:builtInUnit val="thousand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Quarterly Revenues (first two years)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Revenues!$A$16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Revenues!$B$15:$I$15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Revenues!$B$16:$I$16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4A-4A6A-BC25-24EC975BA5CA}"/>
            </c:ext>
          </c:extLst>
        </c:ser>
        <c:ser>
          <c:idx val="1"/>
          <c:order val="1"/>
          <c:tx>
            <c:strRef>
              <c:f>Revenues!$A$17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Revenues!$B$15:$I$15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Revenues!$B$17:$I$17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4A-4A6A-BC25-24EC975BA5CA}"/>
            </c:ext>
          </c:extLst>
        </c:ser>
        <c:ser>
          <c:idx val="2"/>
          <c:order val="2"/>
          <c:tx>
            <c:strRef>
              <c:f>Revenues!$A$18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Revenues!$B$15:$I$15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Revenues!$B$18:$I$18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4A-4A6A-BC25-24EC975B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9696"/>
        <c:axId val="972211536"/>
      </c:scatterChart>
      <c:valAx>
        <c:axId val="97221969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72211536"/>
        <c:crosses val="autoZero"/>
        <c:crossBetween val="midCat"/>
      </c:valAx>
      <c:valAx>
        <c:axId val="972211536"/>
        <c:scaling>
          <c:orientation val="minMax"/>
        </c:scaling>
        <c:delete val="0"/>
        <c:axPos val="l"/>
        <c:majorGridlines/>
        <c:title>
          <c:tx>
            <c:strRef>
              <c:f>Revenues!$A$2</c:f>
              <c:strCache>
                <c:ptCount val="1"/>
                <c:pt idx="0">
                  <c:v>Revenues (USD)</c:v>
                </c:pt>
              </c:strCache>
            </c:strRef>
          </c:tx>
          <c:layout>
            <c:manualLayout>
              <c:xMode val="edge"/>
              <c:yMode val="edge"/>
              <c:x val="3.0555555555555555E-2"/>
              <c:y val="0.26839883373780049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9696"/>
        <c:crosses val="autoZero"/>
        <c:crossBetween val="midCat"/>
        <c:dispUnits>
          <c:builtInUnit val="thousand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Revenues by Product</a:t>
            </a:r>
          </a:p>
          <a:p>
            <a:pPr>
              <a:defRPr/>
            </a:pPr>
            <a:r>
              <a:rPr lang="en-US"/>
              <a:t>(2020-2025)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Revenues!$Q$27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Revenues!$R$26:$W$26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Revenues!$R$27:$W$27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69-4D28-ADE0-C31E23C17006}"/>
            </c:ext>
          </c:extLst>
        </c:ser>
        <c:ser>
          <c:idx val="1"/>
          <c:order val="1"/>
          <c:tx>
            <c:strRef>
              <c:f>Revenues!$Q$28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Revenues!$R$26:$W$26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Revenues!$R$28:$W$28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69-4D28-ADE0-C31E23C17006}"/>
            </c:ext>
          </c:extLst>
        </c:ser>
        <c:ser>
          <c:idx val="2"/>
          <c:order val="2"/>
          <c:tx>
            <c:strRef>
              <c:f>Revenues!$Q$29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Revenues!$R$26:$W$26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Revenues!$R$29:$W$29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69-4D28-ADE0-C31E23C1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05552"/>
        <c:axId val="972209360"/>
      </c:scatterChart>
      <c:valAx>
        <c:axId val="97220555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72209360"/>
        <c:crosses val="autoZero"/>
        <c:crossBetween val="midCat"/>
      </c:valAx>
      <c:valAx>
        <c:axId val="972209360"/>
        <c:scaling>
          <c:orientation val="minMax"/>
        </c:scaling>
        <c:delete val="0"/>
        <c:axPos val="l"/>
        <c:majorGridlines/>
        <c:title>
          <c:tx>
            <c:strRef>
              <c:f>'Top-Down'!$A$2</c:f>
              <c:strCache>
                <c:ptCount val="1"/>
                <c:pt idx="0">
                  <c:v>Revenues (USD)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05552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Quarterly</a:t>
            </a:r>
            <a:r>
              <a:rPr lang="en-GB" baseline="0"/>
              <a:t> COGS - Top-down (first two years)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2059071545125"/>
          <c:y val="0.25196143146777311"/>
          <c:w val="0.71151862275908129"/>
          <c:h val="0.50982599026266751"/>
        </c:manualLayout>
      </c:layout>
      <c:scatterChart>
        <c:scatterStyle val="lineMarker"/>
        <c:varyColors val="0"/>
        <c:ser>
          <c:idx val="1"/>
          <c:order val="0"/>
          <c:tx>
            <c:strRef>
              <c:f>COGS!$A$18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COGS!$B$17:$I$17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COGS!$B$18:$I$18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07-45F8-A6D6-4DEA06A57D4E}"/>
            </c:ext>
          </c:extLst>
        </c:ser>
        <c:ser>
          <c:idx val="0"/>
          <c:order val="1"/>
          <c:tx>
            <c:strRef>
              <c:f>COGS!$A$19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COGS!$B$17:$I$17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COGS!$B$19:$I$19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07-45F8-A6D6-4DEA06A57D4E}"/>
            </c:ext>
          </c:extLst>
        </c:ser>
        <c:ser>
          <c:idx val="2"/>
          <c:order val="2"/>
          <c:tx>
            <c:strRef>
              <c:f>COGS!$A$20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COGS!$B$17:$I$17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COGS!$B$20:$I$20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07-45F8-A6D6-4DEA06A5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06096"/>
        <c:axId val="972209904"/>
      </c:scatterChart>
      <c:valAx>
        <c:axId val="97220609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09904"/>
        <c:crosses val="autoZero"/>
        <c:crossBetween val="midCat"/>
      </c:valAx>
      <c:valAx>
        <c:axId val="972209904"/>
        <c:scaling>
          <c:orientation val="minMax"/>
        </c:scaling>
        <c:delete val="0"/>
        <c:axPos val="l"/>
        <c:majorGridlines/>
        <c:title>
          <c:tx>
            <c:strRef>
              <c:f>COGS!$A$2</c:f>
              <c:strCache>
                <c:ptCount val="1"/>
                <c:pt idx="0">
                  <c:v>COGS (USD)</c:v>
                </c:pt>
              </c:strCache>
            </c:strRef>
          </c:tx>
          <c:layout>
            <c:manualLayout>
              <c:xMode val="edge"/>
              <c:yMode val="edge"/>
              <c:x val="3.5978666783480995E-2"/>
              <c:y val="0.4849238605994296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06096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Annual </a:t>
            </a:r>
            <a:r>
              <a:rPr lang="en-GB" baseline="0"/>
              <a:t>COGS - Top-down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2059071545125"/>
          <c:y val="0.25196143146777311"/>
          <c:w val="0.7115186227590814"/>
          <c:h val="0.51330888296757593"/>
        </c:manualLayout>
      </c:layout>
      <c:scatterChart>
        <c:scatterStyle val="lineMarker"/>
        <c:varyColors val="0"/>
        <c:ser>
          <c:idx val="1"/>
          <c:order val="0"/>
          <c:tx>
            <c:strRef>
              <c:f>COGS!$Q$27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COGS!$R$26:$W$26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COGS!$R$27:$W$27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79-4D91-840B-0B293853EC12}"/>
            </c:ext>
          </c:extLst>
        </c:ser>
        <c:ser>
          <c:idx val="0"/>
          <c:order val="1"/>
          <c:tx>
            <c:strRef>
              <c:f>COGS!$Q$28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COGS!$R$26:$W$26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COGS!$R$28:$W$28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79-4D91-840B-0B293853EC12}"/>
            </c:ext>
          </c:extLst>
        </c:ser>
        <c:ser>
          <c:idx val="2"/>
          <c:order val="2"/>
          <c:tx>
            <c:strRef>
              <c:f>COGS!$Q$29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COGS!$R$26:$W$26</c:f>
              <c:numCache>
                <c:formatCode>mmm\ yyyy</c:formatCode>
                <c:ptCount val="6"/>
                <c:pt idx="0">
                  <c:v>43921</c:v>
                </c:pt>
                <c:pt idx="1">
                  <c:v>44285</c:v>
                </c:pt>
                <c:pt idx="2">
                  <c:v>44650</c:v>
                </c:pt>
                <c:pt idx="3">
                  <c:v>45015</c:v>
                </c:pt>
                <c:pt idx="4">
                  <c:v>45381</c:v>
                </c:pt>
                <c:pt idx="5">
                  <c:v>45746</c:v>
                </c:pt>
              </c:numCache>
            </c:numRef>
          </c:xVal>
          <c:yVal>
            <c:numRef>
              <c:f>COGS!$R$29:$W$29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79-4D91-840B-0B293853E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2624"/>
        <c:axId val="972214800"/>
      </c:scatterChart>
      <c:valAx>
        <c:axId val="972212624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14800"/>
        <c:crosses val="autoZero"/>
        <c:crossBetween val="midCat"/>
      </c:valAx>
      <c:valAx>
        <c:axId val="972214800"/>
        <c:scaling>
          <c:orientation val="minMax"/>
        </c:scaling>
        <c:delete val="0"/>
        <c:axPos val="l"/>
        <c:majorGridlines/>
        <c:title>
          <c:tx>
            <c:strRef>
              <c:f>COGS!$A$2</c:f>
              <c:strCache>
                <c:ptCount val="1"/>
                <c:pt idx="0">
                  <c:v>COGS (USD)</c:v>
                </c:pt>
              </c:strCache>
            </c:strRef>
          </c:tx>
          <c:layout>
            <c:manualLayout>
              <c:xMode val="edge"/>
              <c:yMode val="edge"/>
              <c:x val="3.3391740496971953E-2"/>
              <c:y val="0.49071215744853286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2624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Quarterly</a:t>
            </a:r>
            <a:r>
              <a:rPr lang="en-GB" baseline="0"/>
              <a:t> COGS - Bottom-up (first two years)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2059071545125"/>
          <c:y val="0.25196143146777311"/>
          <c:w val="0.71151862275908129"/>
          <c:h val="0.50982599026266751"/>
        </c:manualLayout>
      </c:layout>
      <c:scatterChart>
        <c:scatterStyle val="lineMarker"/>
        <c:varyColors val="0"/>
        <c:ser>
          <c:idx val="1"/>
          <c:order val="0"/>
          <c:tx>
            <c:strRef>
              <c:f>COGS!$A$49</c:f>
              <c:strCache>
                <c:ptCount val="1"/>
                <c:pt idx="0">
                  <c:v>Product 1</c:v>
                </c:pt>
              </c:strCache>
            </c:strRef>
          </c:tx>
          <c:xVal>
            <c:numRef>
              <c:f>COGS!$B$17:$I$17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COGS!$B$49:$I$49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C4-4529-A1B2-BB8F76010B6F}"/>
            </c:ext>
          </c:extLst>
        </c:ser>
        <c:ser>
          <c:idx val="0"/>
          <c:order val="1"/>
          <c:tx>
            <c:strRef>
              <c:f>COGS!$A$50</c:f>
              <c:strCache>
                <c:ptCount val="1"/>
                <c:pt idx="0">
                  <c:v>Product 2</c:v>
                </c:pt>
              </c:strCache>
            </c:strRef>
          </c:tx>
          <c:xVal>
            <c:numRef>
              <c:f>COGS!$B$17:$I$17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COGS!$B$50:$I$50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C4-4529-A1B2-BB8F76010B6F}"/>
            </c:ext>
          </c:extLst>
        </c:ser>
        <c:ser>
          <c:idx val="2"/>
          <c:order val="2"/>
          <c:tx>
            <c:strRef>
              <c:f>COGS!$A$51</c:f>
              <c:strCache>
                <c:ptCount val="1"/>
                <c:pt idx="0">
                  <c:v>Product 3</c:v>
                </c:pt>
              </c:strCache>
            </c:strRef>
          </c:tx>
          <c:xVal>
            <c:numRef>
              <c:f>COGS!$B$17:$I$17</c:f>
              <c:numCache>
                <c:formatCode>mmm\ yyyy</c:formatCode>
                <c:ptCount val="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44195</c:v>
                </c:pt>
                <c:pt idx="4">
                  <c:v>44285</c:v>
                </c:pt>
                <c:pt idx="5">
                  <c:v>44377</c:v>
                </c:pt>
                <c:pt idx="6">
                  <c:v>44469</c:v>
                </c:pt>
                <c:pt idx="7">
                  <c:v>44560</c:v>
                </c:pt>
              </c:numCache>
            </c:numRef>
          </c:xVal>
          <c:yVal>
            <c:numRef>
              <c:f>COGS!$B$51:$I$51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C4-4529-A1B2-BB8F7601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213712"/>
        <c:axId val="972213168"/>
      </c:scatterChart>
      <c:valAx>
        <c:axId val="97221371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13168"/>
        <c:crosses val="autoZero"/>
        <c:crossBetween val="midCat"/>
      </c:valAx>
      <c:valAx>
        <c:axId val="972213168"/>
        <c:scaling>
          <c:orientation val="minMax"/>
        </c:scaling>
        <c:delete val="0"/>
        <c:axPos val="l"/>
        <c:majorGridlines/>
        <c:title>
          <c:tx>
            <c:strRef>
              <c:f>COGS!$A$2</c:f>
              <c:strCache>
                <c:ptCount val="1"/>
                <c:pt idx="0">
                  <c:v>COGS (USD)</c:v>
                </c:pt>
              </c:strCache>
            </c:strRef>
          </c:tx>
          <c:layout>
            <c:manualLayout>
              <c:xMode val="edge"/>
              <c:yMode val="edge"/>
              <c:x val="3.5978666783480995E-2"/>
              <c:y val="0.4849238605994296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972213712"/>
        <c:crosses val="autoZero"/>
        <c:crossBetween val="midCat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213360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1</xdr:row>
      <xdr:rowOff>95250</xdr:rowOff>
    </xdr:from>
    <xdr:to>
      <xdr:col>17</xdr:col>
      <xdr:colOff>594360</xdr:colOff>
      <xdr:row>14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487680</xdr:colOff>
      <xdr:row>8</xdr:row>
      <xdr:rowOff>80010</xdr:rowOff>
    </xdr:from>
    <xdr:to>
      <xdr:col>8</xdr:col>
      <xdr:colOff>60960</xdr:colOff>
      <xdr:row>23</xdr:row>
      <xdr:rowOff>80010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342900</xdr:colOff>
      <xdr:row>28</xdr:row>
      <xdr:rowOff>110490</xdr:rowOff>
    </xdr:from>
    <xdr:to>
      <xdr:col>12</xdr:col>
      <xdr:colOff>426720</xdr:colOff>
      <xdr:row>47</xdr:row>
      <xdr:rowOff>45720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14</xdr:row>
      <xdr:rowOff>85725</xdr:rowOff>
    </xdr:from>
    <xdr:to>
      <xdr:col>22</xdr:col>
      <xdr:colOff>638175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52</xdr:row>
      <xdr:rowOff>22227</xdr:rowOff>
    </xdr:from>
    <xdr:to>
      <xdr:col>15</xdr:col>
      <xdr:colOff>666751</xdr:colOff>
      <xdr:row>66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66676</xdr:colOff>
      <xdr:row>52</xdr:row>
      <xdr:rowOff>0</xdr:rowOff>
    </xdr:from>
    <xdr:to>
      <xdr:col>20</xdr:col>
      <xdr:colOff>581026</xdr:colOff>
      <xdr:row>66</xdr:row>
      <xdr:rowOff>82548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215900</xdr:colOff>
      <xdr:row>3</xdr:row>
      <xdr:rowOff>168277</xdr:rowOff>
    </xdr:from>
    <xdr:to>
      <xdr:col>22</xdr:col>
      <xdr:colOff>409575</xdr:colOff>
      <xdr:row>16</xdr:row>
      <xdr:rowOff>38101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28</xdr:row>
      <xdr:rowOff>161925</xdr:rowOff>
    </xdr:from>
    <xdr:to>
      <xdr:col>22</xdr:col>
      <xdr:colOff>457200</xdr:colOff>
      <xdr:row>44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3</xdr:row>
      <xdr:rowOff>63500</xdr:rowOff>
    </xdr:from>
    <xdr:to>
      <xdr:col>22</xdr:col>
      <xdr:colOff>390525</xdr:colOff>
      <xdr:row>15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29</xdr:row>
      <xdr:rowOff>161925</xdr:rowOff>
    </xdr:from>
    <xdr:to>
      <xdr:col>22</xdr:col>
      <xdr:colOff>457200</xdr:colOff>
      <xdr:row>45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374650</xdr:colOff>
      <xdr:row>3</xdr:row>
      <xdr:rowOff>166565</xdr:rowOff>
    </xdr:from>
    <xdr:to>
      <xdr:col>22</xdr:col>
      <xdr:colOff>451827</xdr:colOff>
      <xdr:row>16</xdr:row>
      <xdr:rowOff>85480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30</xdr:row>
      <xdr:rowOff>161925</xdr:rowOff>
    </xdr:from>
    <xdr:to>
      <xdr:col>22</xdr:col>
      <xdr:colOff>457200</xdr:colOff>
      <xdr:row>46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314324</xdr:colOff>
      <xdr:row>3</xdr:row>
      <xdr:rowOff>76201</xdr:rowOff>
    </xdr:from>
    <xdr:to>
      <xdr:col>23</xdr:col>
      <xdr:colOff>57149</xdr:colOff>
      <xdr:row>17</xdr:row>
      <xdr:rowOff>104776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95250</xdr:colOff>
      <xdr:row>30</xdr:row>
      <xdr:rowOff>177800</xdr:rowOff>
    </xdr:from>
    <xdr:to>
      <xdr:col>21</xdr:col>
      <xdr:colOff>850900</xdr:colOff>
      <xdr:row>48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314324</xdr:colOff>
      <xdr:row>53</xdr:row>
      <xdr:rowOff>76201</xdr:rowOff>
    </xdr:from>
    <xdr:to>
      <xdr:col>23</xdr:col>
      <xdr:colOff>57149</xdr:colOff>
      <xdr:row>66</xdr:row>
      <xdr:rowOff>104776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95250</xdr:colOff>
      <xdr:row>79</xdr:row>
      <xdr:rowOff>177800</xdr:rowOff>
    </xdr:from>
    <xdr:to>
      <xdr:col>21</xdr:col>
      <xdr:colOff>850900</xdr:colOff>
      <xdr:row>97</xdr:row>
      <xdr:rowOff>57150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3</xdr:row>
      <xdr:rowOff>152400</xdr:rowOff>
    </xdr:from>
    <xdr:to>
      <xdr:col>21</xdr:col>
      <xdr:colOff>857250</xdr:colOff>
      <xdr:row>17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200025</xdr:colOff>
      <xdr:row>34</xdr:row>
      <xdr:rowOff>133350</xdr:rowOff>
    </xdr:from>
    <xdr:to>
      <xdr:col>21</xdr:col>
      <xdr:colOff>733425</xdr:colOff>
      <xdr:row>49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758826</xdr:colOff>
      <xdr:row>34</xdr:row>
      <xdr:rowOff>190499</xdr:rowOff>
    </xdr:from>
    <xdr:to>
      <xdr:col>21</xdr:col>
      <xdr:colOff>857250</xdr:colOff>
      <xdr:row>55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95250</xdr:colOff>
      <xdr:row>3</xdr:row>
      <xdr:rowOff>152400</xdr:rowOff>
    </xdr:from>
    <xdr:to>
      <xdr:col>21</xdr:col>
      <xdr:colOff>857250</xdr:colOff>
      <xdr:row>17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241300</xdr:colOff>
      <xdr:row>36</xdr:row>
      <xdr:rowOff>171449</xdr:rowOff>
    </xdr:from>
    <xdr:to>
      <xdr:col>30</xdr:col>
      <xdr:colOff>479425</xdr:colOff>
      <xdr:row>52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301625</xdr:colOff>
      <xdr:row>55</xdr:row>
      <xdr:rowOff>38100</xdr:rowOff>
    </xdr:from>
    <xdr:to>
      <xdr:col>30</xdr:col>
      <xdr:colOff>539750</xdr:colOff>
      <xdr:row>70</xdr:row>
      <xdr:rowOff>120650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288925</xdr:colOff>
      <xdr:row>17</xdr:row>
      <xdr:rowOff>95251</xdr:rowOff>
    </xdr:from>
    <xdr:to>
      <xdr:col>30</xdr:col>
      <xdr:colOff>527050</xdr:colOff>
      <xdr:row>33</xdr:row>
      <xdr:rowOff>133351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22225</xdr:colOff>
      <xdr:row>3</xdr:row>
      <xdr:rowOff>22227</xdr:rowOff>
    </xdr:from>
    <xdr:to>
      <xdr:col>22</xdr:col>
      <xdr:colOff>15875</xdr:colOff>
      <xdr:row>16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29</xdr:row>
      <xdr:rowOff>161925</xdr:rowOff>
    </xdr:from>
    <xdr:to>
      <xdr:col>22</xdr:col>
      <xdr:colOff>457200</xdr:colOff>
      <xdr:row>45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A7" sqref="A7"/>
    </sheetView>
  </sheetViews>
  <sheetFormatPr defaultRowHeight="14.4" x14ac:dyDescent="0.3"/>
  <sheetData>
    <row r="2" spans="1:1" ht="18" customHeight="1" x14ac:dyDescent="0.3"/>
    <row r="3" spans="1:1" ht="18" x14ac:dyDescent="0.35">
      <c r="A3" s="284" t="s">
        <v>281</v>
      </c>
    </row>
    <row r="4" spans="1:1" ht="18" x14ac:dyDescent="0.35">
      <c r="A4" s="284" t="s">
        <v>282</v>
      </c>
    </row>
    <row r="5" spans="1:1" ht="18" x14ac:dyDescent="0.35">
      <c r="A5" s="284" t="s">
        <v>283</v>
      </c>
    </row>
    <row r="6" spans="1:1" ht="18" x14ac:dyDescent="0.35">
      <c r="A6" s="284" t="s">
        <v>284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A1:X57"/>
  <sheetViews>
    <sheetView topLeftCell="A16" workbookViewId="0">
      <selection activeCell="C29" sqref="C29"/>
    </sheetView>
  </sheetViews>
  <sheetFormatPr defaultRowHeight="14.4" x14ac:dyDescent="0.3"/>
  <cols>
    <col min="1" max="1" width="20.21875" customWidth="1"/>
    <col min="2" max="9" width="11.77734375" customWidth="1"/>
    <col min="10" max="10" width="9.44140625" customWidth="1"/>
    <col min="11" max="14" width="11.77734375" customWidth="1"/>
    <col min="15" max="15" width="10" customWidth="1"/>
    <col min="16" max="16" width="3.77734375" customWidth="1"/>
    <col min="17" max="23" width="14.44140625" customWidth="1"/>
    <col min="24" max="24" width="3.77734375" customWidth="1"/>
  </cols>
  <sheetData>
    <row r="1" spans="1:24" ht="24.6" thickTop="1" thickBot="1" x14ac:dyDescent="0.5">
      <c r="A1" s="38" t="s">
        <v>253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38" t="str">
        <f>CompanyName &amp;" Projected Operating Costs Chart"</f>
        <v>WorkHorse Projected Operating Costs Chart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"Operating Expenses ("&amp;SubHeader&amp;")"</f>
        <v>Operating Expenses (USD)</v>
      </c>
      <c r="B2" s="97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97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ht="19.8" x14ac:dyDescent="0.4">
      <c r="A4" s="37" t="s">
        <v>44</v>
      </c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s="47" customFormat="1" ht="15.6" x14ac:dyDescent="0.3">
      <c r="A5" s="45"/>
      <c r="B5" s="66" t="s">
        <v>68</v>
      </c>
      <c r="C5" s="66" t="s">
        <v>67</v>
      </c>
      <c r="D5" s="369" t="s">
        <v>18</v>
      </c>
      <c r="E5" s="358"/>
      <c r="F5" s="358"/>
      <c r="G5" s="358"/>
      <c r="H5" s="359"/>
      <c r="M5" s="34"/>
      <c r="N5" s="34"/>
      <c r="O5" s="46"/>
      <c r="P5" s="219"/>
      <c r="Q5" s="45"/>
      <c r="R5" s="45"/>
      <c r="S5" s="45"/>
      <c r="T5" s="45"/>
      <c r="U5" s="45"/>
      <c r="V5" s="45"/>
      <c r="W5" s="45"/>
      <c r="X5" s="220"/>
    </row>
    <row r="6" spans="1:24" ht="15" customHeight="1" x14ac:dyDescent="0.3">
      <c r="A6" s="48" t="s">
        <v>69</v>
      </c>
      <c r="B6" s="285">
        <v>0</v>
      </c>
      <c r="C6" s="315">
        <v>0</v>
      </c>
      <c r="D6" s="370"/>
      <c r="E6" s="363"/>
      <c r="F6" s="363"/>
      <c r="G6" s="363"/>
      <c r="H6" s="364"/>
      <c r="M6" s="34"/>
      <c r="N6" s="34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x14ac:dyDescent="0.3">
      <c r="A7" s="49" t="s">
        <v>70</v>
      </c>
      <c r="B7" s="293">
        <v>0</v>
      </c>
      <c r="C7" s="316">
        <v>0</v>
      </c>
      <c r="D7" s="367"/>
      <c r="E7" s="356"/>
      <c r="F7" s="356"/>
      <c r="G7" s="356"/>
      <c r="H7" s="357"/>
      <c r="M7" s="34"/>
      <c r="N7" s="34"/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x14ac:dyDescent="0.3">
      <c r="A8" s="49" t="s">
        <v>71</v>
      </c>
      <c r="B8" s="293">
        <v>0</v>
      </c>
      <c r="C8" s="316">
        <v>0</v>
      </c>
      <c r="D8" s="367"/>
      <c r="E8" s="356"/>
      <c r="F8" s="356"/>
      <c r="G8" s="356"/>
      <c r="H8" s="357"/>
      <c r="M8" s="34"/>
      <c r="N8" s="34"/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5" customHeight="1" x14ac:dyDescent="0.3">
      <c r="A9" s="49" t="s">
        <v>29</v>
      </c>
      <c r="B9" s="293">
        <v>0</v>
      </c>
      <c r="C9" s="316">
        <v>0</v>
      </c>
      <c r="D9" s="367"/>
      <c r="E9" s="356"/>
      <c r="F9" s="356"/>
      <c r="G9" s="356"/>
      <c r="H9" s="357"/>
      <c r="M9" s="34"/>
      <c r="N9" s="34"/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x14ac:dyDescent="0.3">
      <c r="A10" s="49" t="s">
        <v>27</v>
      </c>
      <c r="B10" s="293">
        <v>0</v>
      </c>
      <c r="C10" s="316">
        <v>0</v>
      </c>
      <c r="D10" s="367"/>
      <c r="E10" s="356"/>
      <c r="F10" s="356"/>
      <c r="G10" s="356"/>
      <c r="H10" s="357"/>
      <c r="M10" s="34"/>
      <c r="N10" s="34"/>
      <c r="O10" s="32"/>
      <c r="P10" s="217"/>
      <c r="Q10" s="27"/>
      <c r="R10" s="27"/>
      <c r="S10" s="27"/>
      <c r="T10" s="27"/>
      <c r="U10" s="27"/>
      <c r="V10" s="27"/>
      <c r="W10" s="27"/>
      <c r="X10" s="164"/>
    </row>
    <row r="11" spans="1:24" x14ac:dyDescent="0.3">
      <c r="A11" s="49" t="s">
        <v>28</v>
      </c>
      <c r="B11" s="293">
        <v>0</v>
      </c>
      <c r="C11" s="316">
        <v>0</v>
      </c>
      <c r="D11" s="367"/>
      <c r="E11" s="356"/>
      <c r="F11" s="356"/>
      <c r="G11" s="356"/>
      <c r="H11" s="357"/>
      <c r="M11" s="34"/>
      <c r="N11" s="34"/>
      <c r="O11" s="32"/>
      <c r="P11" s="217"/>
      <c r="Q11" s="27"/>
      <c r="R11" s="27"/>
      <c r="S11" s="27"/>
      <c r="T11" s="27"/>
      <c r="U11" s="27"/>
      <c r="V11" s="27"/>
      <c r="W11" s="27"/>
      <c r="X11" s="164"/>
    </row>
    <row r="12" spans="1:24" x14ac:dyDescent="0.3">
      <c r="A12" s="50" t="s">
        <v>72</v>
      </c>
      <c r="B12" s="317">
        <v>0</v>
      </c>
      <c r="C12" s="318">
        <v>0</v>
      </c>
      <c r="D12" s="368"/>
      <c r="E12" s="354"/>
      <c r="F12" s="354"/>
      <c r="G12" s="354"/>
      <c r="H12" s="355"/>
      <c r="M12" s="34"/>
      <c r="N12" s="34"/>
      <c r="O12" s="32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x14ac:dyDescent="0.3">
      <c r="A13" s="64"/>
      <c r="B13" s="64"/>
      <c r="C13" s="64"/>
      <c r="D13" s="64"/>
      <c r="E13" s="64"/>
      <c r="F13" s="34"/>
      <c r="G13" s="34"/>
      <c r="H13" s="34"/>
      <c r="I13" s="34"/>
      <c r="J13" s="34"/>
      <c r="K13" s="34"/>
      <c r="L13" s="34"/>
      <c r="M13" s="34"/>
      <c r="N13" s="34"/>
      <c r="O13" s="32"/>
      <c r="P13" s="217"/>
      <c r="Q13" s="27"/>
      <c r="R13" s="27"/>
      <c r="S13" s="27"/>
      <c r="T13" s="27"/>
      <c r="U13" s="27"/>
      <c r="V13" s="27"/>
      <c r="W13" s="27"/>
      <c r="X13" s="164"/>
    </row>
    <row r="14" spans="1:24" x14ac:dyDescent="0.3">
      <c r="A14" s="44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2"/>
      <c r="P14" s="217"/>
      <c r="Q14" s="27"/>
      <c r="R14" s="27"/>
      <c r="S14" s="27"/>
      <c r="T14" s="27"/>
      <c r="U14" s="27"/>
      <c r="V14" s="27"/>
      <c r="W14" s="27"/>
      <c r="X14" s="164"/>
    </row>
    <row r="15" spans="1:24" ht="19.8" x14ac:dyDescent="0.4">
      <c r="A15" s="41" t="s">
        <v>51</v>
      </c>
      <c r="P15" s="163"/>
      <c r="Q15" s="27"/>
      <c r="R15" s="27"/>
      <c r="S15" s="27"/>
      <c r="T15" s="27"/>
      <c r="U15" s="27"/>
      <c r="V15" s="27"/>
      <c r="W15" s="27"/>
      <c r="X15" s="164"/>
    </row>
    <row r="16" spans="1:24" x14ac:dyDescent="0.3">
      <c r="A16" s="36"/>
      <c r="B16" s="371" t="s">
        <v>164</v>
      </c>
      <c r="C16" s="344"/>
      <c r="D16" s="344"/>
      <c r="E16" s="344"/>
      <c r="F16" s="344"/>
      <c r="G16" s="344"/>
      <c r="H16" s="344"/>
      <c r="I16" s="372"/>
      <c r="J16" s="243"/>
      <c r="K16" s="373" t="s">
        <v>165</v>
      </c>
      <c r="L16" s="352"/>
      <c r="M16" s="352"/>
      <c r="N16" s="374"/>
      <c r="O16" s="32"/>
      <c r="P16" s="163"/>
      <c r="Q16" s="27"/>
      <c r="R16" s="27"/>
      <c r="S16" s="27"/>
      <c r="T16" s="27"/>
      <c r="U16" s="27"/>
      <c r="V16" s="27"/>
      <c r="W16" s="27"/>
      <c r="X16" s="164"/>
    </row>
    <row r="17" spans="1:24" x14ac:dyDescent="0.3">
      <c r="A17" s="36"/>
      <c r="B17" s="375" t="s">
        <v>205</v>
      </c>
      <c r="C17" s="347"/>
      <c r="D17" s="347"/>
      <c r="E17" s="348"/>
      <c r="F17" s="349" t="s">
        <v>206</v>
      </c>
      <c r="G17" s="347"/>
      <c r="H17" s="347"/>
      <c r="I17" s="376"/>
      <c r="J17" s="243"/>
      <c r="K17" s="149" t="s">
        <v>145</v>
      </c>
      <c r="L17" s="109" t="s">
        <v>146</v>
      </c>
      <c r="M17" s="109" t="s">
        <v>147</v>
      </c>
      <c r="N17" s="150" t="s">
        <v>243</v>
      </c>
      <c r="O17" s="32"/>
      <c r="P17" s="163"/>
      <c r="Q17" s="27"/>
      <c r="R17" s="27"/>
      <c r="S17" s="27"/>
      <c r="T17" s="27"/>
      <c r="U17" s="27"/>
      <c r="V17" s="27"/>
      <c r="W17" s="27"/>
      <c r="X17" s="164"/>
    </row>
    <row r="18" spans="1:24" s="61" customFormat="1" x14ac:dyDescent="0.3">
      <c r="A18" s="59"/>
      <c r="B18" s="143">
        <f>StartDate</f>
        <v>43921</v>
      </c>
      <c r="C18" s="60">
        <f>EDATE(B18,3)</f>
        <v>44012</v>
      </c>
      <c r="D18" s="60">
        <f t="shared" ref="D18" si="0">EDATE(C18,3)</f>
        <v>44104</v>
      </c>
      <c r="E18" s="60">
        <f t="shared" ref="E18" si="1">EDATE(D18,3)</f>
        <v>44195</v>
      </c>
      <c r="F18" s="60">
        <f t="shared" ref="F18" si="2">EDATE(E18,3)</f>
        <v>44285</v>
      </c>
      <c r="G18" s="60">
        <f t="shared" ref="G18" si="3">EDATE(F18,3)</f>
        <v>44377</v>
      </c>
      <c r="H18" s="60">
        <f t="shared" ref="H18" si="4">EDATE(G18,3)</f>
        <v>44469</v>
      </c>
      <c r="I18" s="144">
        <f t="shared" ref="I18" si="5">EDATE(H18,3)</f>
        <v>44560</v>
      </c>
      <c r="J18" s="243"/>
      <c r="K18" s="143">
        <f>EDATE(I18,3)</f>
        <v>44650</v>
      </c>
      <c r="L18" s="60">
        <f t="shared" ref="L18" si="6">EDATE(K18,12)</f>
        <v>45015</v>
      </c>
      <c r="M18" s="60">
        <f t="shared" ref="M18:N18" si="7">EDATE(L18,12)</f>
        <v>45381</v>
      </c>
      <c r="N18" s="151">
        <f t="shared" si="7"/>
        <v>45746</v>
      </c>
      <c r="P18" s="163"/>
      <c r="Q18" s="27"/>
      <c r="R18" s="27"/>
      <c r="S18" s="27"/>
      <c r="T18" s="27"/>
      <c r="U18" s="27"/>
      <c r="V18" s="27"/>
      <c r="W18" s="27"/>
      <c r="X18" s="164"/>
    </row>
    <row r="19" spans="1:24" s="61" customFormat="1" ht="15" thickBot="1" x14ac:dyDescent="0.35">
      <c r="A19" s="42" t="s">
        <v>204</v>
      </c>
      <c r="B19" s="319">
        <v>0</v>
      </c>
      <c r="C19" s="310">
        <v>0</v>
      </c>
      <c r="D19" s="310">
        <v>0</v>
      </c>
      <c r="E19" s="310">
        <v>0</v>
      </c>
      <c r="F19" s="310">
        <v>0</v>
      </c>
      <c r="G19" s="310">
        <v>0</v>
      </c>
      <c r="H19" s="310">
        <v>0</v>
      </c>
      <c r="I19" s="320">
        <v>0</v>
      </c>
      <c r="J19" s="243"/>
      <c r="K19" s="319">
        <v>0</v>
      </c>
      <c r="L19" s="310">
        <v>0</v>
      </c>
      <c r="M19" s="310">
        <v>0</v>
      </c>
      <c r="N19" s="320">
        <v>0</v>
      </c>
      <c r="P19" s="125"/>
      <c r="Q19" s="126"/>
      <c r="R19" s="126"/>
      <c r="S19" s="126"/>
      <c r="T19" s="126"/>
      <c r="U19" s="126"/>
      <c r="V19" s="126"/>
      <c r="W19" s="126"/>
      <c r="X19" s="127"/>
    </row>
    <row r="20" spans="1:24" ht="15" thickTop="1" x14ac:dyDescent="0.3">
      <c r="A20" s="42" t="str">
        <f t="shared" ref="A20:A26" si="8">A6</f>
        <v>Professional Services</v>
      </c>
      <c r="B20" s="145">
        <f t="shared" ref="B20:B26" si="9">$B6*(1+$C6)^(YEAR(B$18)-YEAR($B$18))/4</f>
        <v>0</v>
      </c>
      <c r="C20" s="51">
        <f t="shared" ref="C20:I20" si="10">$B6*(1+$C6)^(YEAR(C$18)-YEAR($B$18))/4</f>
        <v>0</v>
      </c>
      <c r="D20" s="51">
        <f t="shared" si="10"/>
        <v>0</v>
      </c>
      <c r="E20" s="51">
        <f t="shared" si="10"/>
        <v>0</v>
      </c>
      <c r="F20" s="51">
        <f t="shared" si="10"/>
        <v>0</v>
      </c>
      <c r="G20" s="51">
        <f t="shared" si="10"/>
        <v>0</v>
      </c>
      <c r="H20" s="51">
        <f t="shared" si="10"/>
        <v>0</v>
      </c>
      <c r="I20" s="146">
        <f t="shared" si="10"/>
        <v>0</v>
      </c>
      <c r="J20" s="243"/>
      <c r="K20" s="145">
        <f t="shared" ref="K20:K26" si="11">$B6*(1+$C6)^(YEAR(K$18)-YEAR($B$18))</f>
        <v>0</v>
      </c>
      <c r="L20" s="51">
        <f t="shared" ref="L20:N20" si="12">$B6*(1+$C6)^(YEAR(L$18)-YEAR($B$18))</f>
        <v>0</v>
      </c>
      <c r="M20" s="51">
        <f t="shared" si="12"/>
        <v>0</v>
      </c>
      <c r="N20" s="146">
        <f t="shared" si="12"/>
        <v>0</v>
      </c>
      <c r="P20" s="221"/>
      <c r="Q20" s="222"/>
      <c r="R20" s="222"/>
      <c r="S20" s="222"/>
      <c r="T20" s="222"/>
      <c r="U20" s="222"/>
      <c r="V20" s="222"/>
      <c r="W20" s="222"/>
      <c r="X20" s="216"/>
    </row>
    <row r="21" spans="1:24" ht="17.399999999999999" x14ac:dyDescent="0.35">
      <c r="A21" s="42" t="str">
        <f t="shared" si="8"/>
        <v>Office</v>
      </c>
      <c r="B21" s="145">
        <f t="shared" si="9"/>
        <v>0</v>
      </c>
      <c r="C21" s="51">
        <f t="shared" ref="C21:I21" si="13">$B7*(1+$C7)^(YEAR(C$18)-YEAR($B$18))/4</f>
        <v>0</v>
      </c>
      <c r="D21" s="51">
        <f t="shared" si="13"/>
        <v>0</v>
      </c>
      <c r="E21" s="51">
        <f t="shared" si="13"/>
        <v>0</v>
      </c>
      <c r="F21" s="51">
        <f t="shared" si="13"/>
        <v>0</v>
      </c>
      <c r="G21" s="51">
        <f t="shared" si="13"/>
        <v>0</v>
      </c>
      <c r="H21" s="51">
        <f t="shared" si="13"/>
        <v>0</v>
      </c>
      <c r="I21" s="146">
        <f t="shared" si="13"/>
        <v>0</v>
      </c>
      <c r="J21" s="243"/>
      <c r="K21" s="145">
        <f t="shared" si="11"/>
        <v>0</v>
      </c>
      <c r="L21" s="51">
        <f t="shared" ref="L21:N26" si="14">$B7*(1+$C7)^(YEAR(L$18)-YEAR($B$18))</f>
        <v>0</v>
      </c>
      <c r="M21" s="51">
        <f t="shared" si="14"/>
        <v>0</v>
      </c>
      <c r="N21" s="146">
        <f t="shared" si="14"/>
        <v>0</v>
      </c>
      <c r="P21" s="163"/>
      <c r="Q21" s="218" t="s">
        <v>211</v>
      </c>
      <c r="R21" s="27"/>
      <c r="S21" s="27"/>
      <c r="T21" s="27"/>
      <c r="U21" s="27"/>
      <c r="V21" s="27"/>
      <c r="W21" s="27"/>
      <c r="X21" s="164"/>
    </row>
    <row r="22" spans="1:24" x14ac:dyDescent="0.3">
      <c r="A22" s="42" t="str">
        <f t="shared" si="8"/>
        <v>R&amp;D Expenses</v>
      </c>
      <c r="B22" s="145">
        <f t="shared" si="9"/>
        <v>0</v>
      </c>
      <c r="C22" s="51">
        <f t="shared" ref="C22:I26" si="15">$B8*(1+$C8)^(YEAR(C$18)-YEAR($B$18))/4</f>
        <v>0</v>
      </c>
      <c r="D22" s="51">
        <f t="shared" si="15"/>
        <v>0</v>
      </c>
      <c r="E22" s="51">
        <f t="shared" si="15"/>
        <v>0</v>
      </c>
      <c r="F22" s="51">
        <f t="shared" si="15"/>
        <v>0</v>
      </c>
      <c r="G22" s="51">
        <f t="shared" si="15"/>
        <v>0</v>
      </c>
      <c r="H22" s="51">
        <f t="shared" si="15"/>
        <v>0</v>
      </c>
      <c r="I22" s="146">
        <f t="shared" si="15"/>
        <v>0</v>
      </c>
      <c r="J22" s="243"/>
      <c r="K22" s="145">
        <f t="shared" si="11"/>
        <v>0</v>
      </c>
      <c r="L22" s="51">
        <f t="shared" si="14"/>
        <v>0</v>
      </c>
      <c r="M22" s="51">
        <f t="shared" si="14"/>
        <v>0</v>
      </c>
      <c r="N22" s="146">
        <f t="shared" si="14"/>
        <v>0</v>
      </c>
      <c r="P22" s="163"/>
      <c r="X22" s="164"/>
    </row>
    <row r="23" spans="1:24" x14ac:dyDescent="0.3">
      <c r="A23" s="42" t="str">
        <f t="shared" si="8"/>
        <v>Sales and Marketing</v>
      </c>
      <c r="B23" s="145">
        <f t="shared" si="9"/>
        <v>0</v>
      </c>
      <c r="C23" s="51">
        <f t="shared" si="15"/>
        <v>0</v>
      </c>
      <c r="D23" s="51">
        <f t="shared" si="15"/>
        <v>0</v>
      </c>
      <c r="E23" s="51">
        <f t="shared" si="15"/>
        <v>0</v>
      </c>
      <c r="F23" s="51">
        <f t="shared" si="15"/>
        <v>0</v>
      </c>
      <c r="G23" s="51">
        <f t="shared" si="15"/>
        <v>0</v>
      </c>
      <c r="H23" s="51">
        <f t="shared" si="15"/>
        <v>0</v>
      </c>
      <c r="I23" s="146">
        <f t="shared" si="15"/>
        <v>0</v>
      </c>
      <c r="J23" s="243"/>
      <c r="K23" s="145">
        <f t="shared" si="11"/>
        <v>0</v>
      </c>
      <c r="L23" s="51">
        <f t="shared" si="14"/>
        <v>0</v>
      </c>
      <c r="M23" s="51">
        <f t="shared" si="14"/>
        <v>0</v>
      </c>
      <c r="N23" s="146">
        <f t="shared" si="14"/>
        <v>0</v>
      </c>
      <c r="P23" s="163"/>
      <c r="R23" s="351" t="s">
        <v>212</v>
      </c>
      <c r="S23" s="352"/>
      <c r="T23" s="352"/>
      <c r="U23" s="352"/>
      <c r="V23" s="352"/>
      <c r="W23" s="353"/>
      <c r="X23" s="164"/>
    </row>
    <row r="24" spans="1:24" x14ac:dyDescent="0.3">
      <c r="A24" s="42" t="str">
        <f t="shared" si="8"/>
        <v>Travel</v>
      </c>
      <c r="B24" s="145">
        <f t="shared" si="9"/>
        <v>0</v>
      </c>
      <c r="C24" s="51">
        <f t="shared" si="15"/>
        <v>0</v>
      </c>
      <c r="D24" s="51">
        <f t="shared" si="15"/>
        <v>0</v>
      </c>
      <c r="E24" s="51">
        <f t="shared" si="15"/>
        <v>0</v>
      </c>
      <c r="F24" s="51">
        <f t="shared" si="15"/>
        <v>0</v>
      </c>
      <c r="G24" s="51">
        <f t="shared" si="15"/>
        <v>0</v>
      </c>
      <c r="H24" s="51">
        <f t="shared" si="15"/>
        <v>0</v>
      </c>
      <c r="I24" s="146">
        <f t="shared" si="15"/>
        <v>0</v>
      </c>
      <c r="J24" s="243"/>
      <c r="K24" s="145">
        <f t="shared" si="11"/>
        <v>0</v>
      </c>
      <c r="L24" s="51">
        <f t="shared" si="14"/>
        <v>0</v>
      </c>
      <c r="M24" s="51">
        <f t="shared" si="14"/>
        <v>0</v>
      </c>
      <c r="N24" s="146">
        <f t="shared" si="14"/>
        <v>0</v>
      </c>
      <c r="P24" s="163"/>
      <c r="R24" s="108" t="s">
        <v>205</v>
      </c>
      <c r="S24" s="109" t="s">
        <v>206</v>
      </c>
      <c r="T24" s="109" t="s">
        <v>145</v>
      </c>
      <c r="U24" s="109" t="s">
        <v>146</v>
      </c>
      <c r="V24" s="109" t="s">
        <v>147</v>
      </c>
      <c r="W24" s="110" t="s">
        <v>243</v>
      </c>
      <c r="X24" s="164"/>
    </row>
    <row r="25" spans="1:24" x14ac:dyDescent="0.3">
      <c r="A25" s="42" t="str">
        <f t="shared" si="8"/>
        <v>Administrative</v>
      </c>
      <c r="B25" s="145">
        <f t="shared" si="9"/>
        <v>0</v>
      </c>
      <c r="C25" s="51">
        <f t="shared" si="15"/>
        <v>0</v>
      </c>
      <c r="D25" s="51">
        <f t="shared" si="15"/>
        <v>0</v>
      </c>
      <c r="E25" s="51">
        <f t="shared" si="15"/>
        <v>0</v>
      </c>
      <c r="F25" s="51">
        <f t="shared" si="15"/>
        <v>0</v>
      </c>
      <c r="G25" s="51">
        <f t="shared" si="15"/>
        <v>0</v>
      </c>
      <c r="H25" s="51">
        <f t="shared" si="15"/>
        <v>0</v>
      </c>
      <c r="I25" s="146">
        <f t="shared" si="15"/>
        <v>0</v>
      </c>
      <c r="J25" s="243"/>
      <c r="K25" s="145">
        <f t="shared" si="11"/>
        <v>0</v>
      </c>
      <c r="L25" s="51">
        <f t="shared" si="14"/>
        <v>0</v>
      </c>
      <c r="M25" s="51">
        <f t="shared" si="14"/>
        <v>0</v>
      </c>
      <c r="N25" s="146">
        <f t="shared" si="14"/>
        <v>0</v>
      </c>
      <c r="P25" s="163"/>
      <c r="R25" s="104">
        <f>B18</f>
        <v>43921</v>
      </c>
      <c r="S25" s="60">
        <f>F18</f>
        <v>44285</v>
      </c>
      <c r="T25" s="60">
        <f>K18</f>
        <v>44650</v>
      </c>
      <c r="U25" s="60">
        <f t="shared" ref="U25:W25" si="16">L18</f>
        <v>45015</v>
      </c>
      <c r="V25" s="60">
        <f t="shared" si="16"/>
        <v>45381</v>
      </c>
      <c r="W25" s="107">
        <f t="shared" si="16"/>
        <v>45746</v>
      </c>
      <c r="X25" s="164"/>
    </row>
    <row r="26" spans="1:24" ht="15" thickBot="1" x14ac:dyDescent="0.35">
      <c r="A26" s="43" t="str">
        <f t="shared" si="8"/>
        <v>Other costs</v>
      </c>
      <c r="B26" s="147">
        <f t="shared" si="9"/>
        <v>0</v>
      </c>
      <c r="C26" s="52">
        <f t="shared" si="15"/>
        <v>0</v>
      </c>
      <c r="D26" s="52">
        <f t="shared" si="15"/>
        <v>0</v>
      </c>
      <c r="E26" s="52">
        <f t="shared" si="15"/>
        <v>0</v>
      </c>
      <c r="F26" s="52">
        <f t="shared" si="15"/>
        <v>0</v>
      </c>
      <c r="G26" s="52">
        <f t="shared" si="15"/>
        <v>0</v>
      </c>
      <c r="H26" s="52">
        <f t="shared" si="15"/>
        <v>0</v>
      </c>
      <c r="I26" s="148">
        <f t="shared" si="15"/>
        <v>0</v>
      </c>
      <c r="J26" s="243"/>
      <c r="K26" s="145">
        <f t="shared" si="11"/>
        <v>0</v>
      </c>
      <c r="L26" s="52">
        <f t="shared" si="14"/>
        <v>0</v>
      </c>
      <c r="M26" s="52">
        <f t="shared" si="14"/>
        <v>0</v>
      </c>
      <c r="N26" s="148">
        <f t="shared" si="14"/>
        <v>0</v>
      </c>
      <c r="P26" s="163"/>
      <c r="Q26" s="212" t="str">
        <f t="shared" ref="Q26:Q34" si="17">A19</f>
        <v>Initial Startup costs</v>
      </c>
      <c r="R26" s="105">
        <f>SUM(B19:E19)</f>
        <v>0</v>
      </c>
      <c r="S26" s="98">
        <f>SUM(F19:I19)</f>
        <v>0</v>
      </c>
      <c r="T26" s="98">
        <f>K19</f>
        <v>0</v>
      </c>
      <c r="U26" s="98">
        <f t="shared" ref="U26:W26" si="18">L19</f>
        <v>0</v>
      </c>
      <c r="V26" s="98">
        <f t="shared" si="18"/>
        <v>0</v>
      </c>
      <c r="W26" s="101">
        <f t="shared" si="18"/>
        <v>0</v>
      </c>
      <c r="X26" s="164"/>
    </row>
    <row r="27" spans="1:24" s="29" customFormat="1" ht="15" thickTop="1" x14ac:dyDescent="0.3">
      <c r="A27" s="44" t="s">
        <v>13</v>
      </c>
      <c r="B27" s="152">
        <f>SUM(B19:B26)</f>
        <v>0</v>
      </c>
      <c r="C27" s="153">
        <f t="shared" ref="C27:N27" si="19">SUM(C19:C26)</f>
        <v>0</v>
      </c>
      <c r="D27" s="153">
        <f t="shared" si="19"/>
        <v>0</v>
      </c>
      <c r="E27" s="153">
        <f t="shared" si="19"/>
        <v>0</v>
      </c>
      <c r="F27" s="153">
        <f t="shared" si="19"/>
        <v>0</v>
      </c>
      <c r="G27" s="153">
        <f t="shared" si="19"/>
        <v>0</v>
      </c>
      <c r="H27" s="153">
        <f t="shared" si="19"/>
        <v>0</v>
      </c>
      <c r="I27" s="154">
        <f t="shared" si="19"/>
        <v>0</v>
      </c>
      <c r="J27" s="243"/>
      <c r="K27" s="152">
        <f t="shared" si="19"/>
        <v>0</v>
      </c>
      <c r="L27" s="153">
        <f t="shared" si="19"/>
        <v>0</v>
      </c>
      <c r="M27" s="153">
        <f t="shared" si="19"/>
        <v>0</v>
      </c>
      <c r="N27" s="154">
        <f t="shared" si="19"/>
        <v>0</v>
      </c>
      <c r="P27" s="163"/>
      <c r="Q27" s="212" t="str">
        <f t="shared" si="17"/>
        <v>Professional Services</v>
      </c>
      <c r="R27" s="105">
        <f t="shared" ref="R27:R33" si="20">SUM(B20:E20)</f>
        <v>0</v>
      </c>
      <c r="S27" s="98">
        <f t="shared" ref="S27:S33" si="21">SUM(F20:I20)</f>
        <v>0</v>
      </c>
      <c r="T27" s="98">
        <f t="shared" ref="T27:T33" si="22">K20</f>
        <v>0</v>
      </c>
      <c r="U27" s="98">
        <f t="shared" ref="U27:U33" si="23">L20</f>
        <v>0</v>
      </c>
      <c r="V27" s="98">
        <f t="shared" ref="V27:V33" si="24">M20</f>
        <v>0</v>
      </c>
      <c r="W27" s="101">
        <f t="shared" ref="W27:W33" si="25">N20</f>
        <v>0</v>
      </c>
      <c r="X27" s="164"/>
    </row>
    <row r="28" spans="1:24" x14ac:dyDescent="0.3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P28" s="163"/>
      <c r="Q28" s="212" t="str">
        <f t="shared" si="17"/>
        <v>Office</v>
      </c>
      <c r="R28" s="105">
        <f t="shared" si="20"/>
        <v>0</v>
      </c>
      <c r="S28" s="98">
        <f t="shared" si="21"/>
        <v>0</v>
      </c>
      <c r="T28" s="98">
        <f t="shared" si="22"/>
        <v>0</v>
      </c>
      <c r="U28" s="98">
        <f t="shared" si="23"/>
        <v>0</v>
      </c>
      <c r="V28" s="98">
        <f t="shared" si="24"/>
        <v>0</v>
      </c>
      <c r="W28" s="101">
        <f t="shared" si="25"/>
        <v>0</v>
      </c>
      <c r="X28" s="164"/>
    </row>
    <row r="29" spans="1:24" x14ac:dyDescent="0.3">
      <c r="P29" s="163"/>
      <c r="Q29" s="212" t="str">
        <f t="shared" si="17"/>
        <v>R&amp;D Expenses</v>
      </c>
      <c r="R29" s="105">
        <f t="shared" si="20"/>
        <v>0</v>
      </c>
      <c r="S29" s="98">
        <f t="shared" si="21"/>
        <v>0</v>
      </c>
      <c r="T29" s="98">
        <f t="shared" si="22"/>
        <v>0</v>
      </c>
      <c r="U29" s="98">
        <f t="shared" si="23"/>
        <v>0</v>
      </c>
      <c r="V29" s="98">
        <f t="shared" si="24"/>
        <v>0</v>
      </c>
      <c r="W29" s="101">
        <f t="shared" si="25"/>
        <v>0</v>
      </c>
      <c r="X29" s="164"/>
    </row>
    <row r="30" spans="1:24" ht="19.8" x14ac:dyDescent="0.4">
      <c r="A30" s="41" t="s">
        <v>83</v>
      </c>
      <c r="P30" s="163"/>
      <c r="Q30" s="212" t="str">
        <f t="shared" si="17"/>
        <v>Sales and Marketing</v>
      </c>
      <c r="R30" s="105">
        <f t="shared" si="20"/>
        <v>0</v>
      </c>
      <c r="S30" s="98">
        <f t="shared" si="21"/>
        <v>0</v>
      </c>
      <c r="T30" s="98">
        <f t="shared" si="22"/>
        <v>0</v>
      </c>
      <c r="U30" s="98">
        <f t="shared" si="23"/>
        <v>0</v>
      </c>
      <c r="V30" s="98">
        <f t="shared" si="24"/>
        <v>0</v>
      </c>
      <c r="W30" s="101">
        <f t="shared" si="25"/>
        <v>0</v>
      </c>
      <c r="X30" s="164"/>
    </row>
    <row r="31" spans="1:24" x14ac:dyDescent="0.3">
      <c r="A31" s="77" t="s">
        <v>84</v>
      </c>
      <c r="B31" s="321">
        <v>0</v>
      </c>
      <c r="P31" s="163"/>
      <c r="Q31" s="212" t="str">
        <f t="shared" si="17"/>
        <v>Travel</v>
      </c>
      <c r="R31" s="105">
        <f t="shared" si="20"/>
        <v>0</v>
      </c>
      <c r="S31" s="98">
        <f t="shared" si="21"/>
        <v>0</v>
      </c>
      <c r="T31" s="98">
        <f t="shared" si="22"/>
        <v>0</v>
      </c>
      <c r="U31" s="98">
        <f t="shared" si="23"/>
        <v>0</v>
      </c>
      <c r="V31" s="98">
        <f t="shared" si="24"/>
        <v>0</v>
      </c>
      <c r="W31" s="101">
        <f t="shared" si="25"/>
        <v>0</v>
      </c>
      <c r="X31" s="164"/>
    </row>
    <row r="32" spans="1:24" x14ac:dyDescent="0.3">
      <c r="A32" s="65" t="s">
        <v>128</v>
      </c>
      <c r="B32" s="322">
        <v>0</v>
      </c>
      <c r="C32" t="s">
        <v>132</v>
      </c>
      <c r="P32" s="163"/>
      <c r="Q32" s="212" t="str">
        <f t="shared" si="17"/>
        <v>Administrative</v>
      </c>
      <c r="R32" s="105">
        <f t="shared" si="20"/>
        <v>0</v>
      </c>
      <c r="S32" s="98">
        <f t="shared" si="21"/>
        <v>0</v>
      </c>
      <c r="T32" s="98">
        <f t="shared" si="22"/>
        <v>0</v>
      </c>
      <c r="U32" s="98">
        <f t="shared" si="23"/>
        <v>0</v>
      </c>
      <c r="V32" s="98">
        <f t="shared" si="24"/>
        <v>0</v>
      </c>
      <c r="W32" s="101">
        <f t="shared" si="25"/>
        <v>0</v>
      </c>
      <c r="X32" s="164"/>
    </row>
    <row r="33" spans="16:24" ht="15" thickBot="1" x14ac:dyDescent="0.35">
      <c r="P33" s="163"/>
      <c r="Q33" s="212" t="str">
        <f t="shared" si="17"/>
        <v>Other costs</v>
      </c>
      <c r="R33" s="106">
        <f t="shared" si="20"/>
        <v>0</v>
      </c>
      <c r="S33" s="99">
        <f t="shared" si="21"/>
        <v>0</v>
      </c>
      <c r="T33" s="99">
        <f t="shared" si="22"/>
        <v>0</v>
      </c>
      <c r="U33" s="99">
        <f t="shared" si="23"/>
        <v>0</v>
      </c>
      <c r="V33" s="99">
        <f t="shared" si="24"/>
        <v>0</v>
      </c>
      <c r="W33" s="102">
        <f t="shared" si="25"/>
        <v>0</v>
      </c>
      <c r="X33" s="164"/>
    </row>
    <row r="34" spans="16:24" ht="15" thickTop="1" x14ac:dyDescent="0.3">
      <c r="P34" s="163"/>
      <c r="Q34" s="212" t="str">
        <f t="shared" si="17"/>
        <v xml:space="preserve">Total </v>
      </c>
      <c r="R34" s="86">
        <f>SUM(R26:R33)</f>
        <v>0</v>
      </c>
      <c r="S34" s="86">
        <f t="shared" ref="S34:W34" si="26">SUM(S26:S33)</f>
        <v>0</v>
      </c>
      <c r="T34" s="86">
        <f t="shared" si="26"/>
        <v>0</v>
      </c>
      <c r="U34" s="86">
        <f t="shared" si="26"/>
        <v>0</v>
      </c>
      <c r="V34" s="86">
        <f t="shared" si="26"/>
        <v>0</v>
      </c>
      <c r="W34" s="118">
        <f t="shared" si="26"/>
        <v>0</v>
      </c>
      <c r="X34" s="164"/>
    </row>
    <row r="35" spans="16:24" x14ac:dyDescent="0.3">
      <c r="P35" s="163"/>
      <c r="Q35" s="27"/>
      <c r="R35" s="27"/>
      <c r="S35" s="27"/>
      <c r="T35" s="27"/>
      <c r="U35" s="27"/>
      <c r="V35" s="27"/>
      <c r="W35" s="27"/>
      <c r="X35" s="164"/>
    </row>
    <row r="36" spans="16:24" x14ac:dyDescent="0.3">
      <c r="P36" s="163"/>
      <c r="Q36" s="27"/>
      <c r="R36" s="27"/>
      <c r="S36" s="27"/>
      <c r="T36" s="27"/>
      <c r="U36" s="27"/>
      <c r="V36" s="27"/>
      <c r="W36" s="27"/>
      <c r="X36" s="164"/>
    </row>
    <row r="37" spans="16:24" x14ac:dyDescent="0.3">
      <c r="P37" s="163"/>
      <c r="Q37" s="27"/>
      <c r="R37" s="27"/>
      <c r="S37" s="27"/>
      <c r="T37" s="27"/>
      <c r="U37" s="27"/>
      <c r="V37" s="27"/>
      <c r="W37" s="27"/>
      <c r="X37" s="164"/>
    </row>
    <row r="38" spans="16:24" x14ac:dyDescent="0.3">
      <c r="P38" s="163"/>
      <c r="Q38" s="27"/>
      <c r="R38" s="27"/>
      <c r="S38" s="27"/>
      <c r="T38" s="27"/>
      <c r="U38" s="27"/>
      <c r="V38" s="27"/>
      <c r="W38" s="27"/>
      <c r="X38" s="164"/>
    </row>
    <row r="39" spans="16:24" x14ac:dyDescent="0.3">
      <c r="P39" s="163"/>
      <c r="Q39" s="27"/>
      <c r="R39" s="27"/>
      <c r="S39" s="27"/>
      <c r="T39" s="27"/>
      <c r="U39" s="27"/>
      <c r="V39" s="27"/>
      <c r="W39" s="27"/>
      <c r="X39" s="164"/>
    </row>
    <row r="40" spans="16:24" x14ac:dyDescent="0.3">
      <c r="P40" s="163"/>
      <c r="Q40" s="27"/>
      <c r="R40" s="27"/>
      <c r="S40" s="27"/>
      <c r="T40" s="27"/>
      <c r="U40" s="27"/>
      <c r="V40" s="27"/>
      <c r="W40" s="27"/>
      <c r="X40" s="164"/>
    </row>
    <row r="41" spans="16:24" x14ac:dyDescent="0.3">
      <c r="P41" s="163"/>
      <c r="Q41" s="27"/>
      <c r="R41" s="27"/>
      <c r="S41" s="27"/>
      <c r="T41" s="27"/>
      <c r="U41" s="27"/>
      <c r="V41" s="27"/>
      <c r="W41" s="27"/>
      <c r="X41" s="164"/>
    </row>
    <row r="42" spans="16:24" x14ac:dyDescent="0.3">
      <c r="P42" s="163"/>
      <c r="Q42" s="27"/>
      <c r="R42" s="27"/>
      <c r="S42" s="27"/>
      <c r="T42" s="27"/>
      <c r="U42" s="27"/>
      <c r="V42" s="27"/>
      <c r="W42" s="27"/>
      <c r="X42" s="164"/>
    </row>
    <row r="43" spans="16:24" x14ac:dyDescent="0.3">
      <c r="P43" s="163"/>
      <c r="Q43" s="27"/>
      <c r="R43" s="27"/>
      <c r="S43" s="27"/>
      <c r="T43" s="27"/>
      <c r="U43" s="27"/>
      <c r="V43" s="27"/>
      <c r="W43" s="27"/>
      <c r="X43" s="164"/>
    </row>
    <row r="44" spans="16:24" x14ac:dyDescent="0.3">
      <c r="P44" s="163"/>
      <c r="Q44" s="27"/>
      <c r="R44" s="27"/>
      <c r="S44" s="27"/>
      <c r="T44" s="27"/>
      <c r="U44" s="27"/>
      <c r="V44" s="27"/>
      <c r="W44" s="27"/>
      <c r="X44" s="164"/>
    </row>
    <row r="45" spans="16:24" x14ac:dyDescent="0.3">
      <c r="P45" s="163"/>
      <c r="Q45" s="27"/>
      <c r="R45" s="27"/>
      <c r="S45" s="27"/>
      <c r="T45" s="27"/>
      <c r="U45" s="27"/>
      <c r="V45" s="27"/>
      <c r="W45" s="27"/>
      <c r="X45" s="164"/>
    </row>
    <row r="46" spans="16:24" x14ac:dyDescent="0.3">
      <c r="P46" s="163"/>
      <c r="Q46" s="27"/>
      <c r="R46" s="27"/>
      <c r="S46" s="27"/>
      <c r="T46" s="27"/>
      <c r="U46" s="27"/>
      <c r="V46" s="27"/>
      <c r="W46" s="27"/>
      <c r="X46" s="164"/>
    </row>
    <row r="47" spans="16:24" x14ac:dyDescent="0.3">
      <c r="P47" s="163"/>
      <c r="Q47" s="27"/>
      <c r="R47" s="27"/>
      <c r="S47" s="27"/>
      <c r="T47" s="27"/>
      <c r="U47" s="27"/>
      <c r="V47" s="27"/>
      <c r="W47" s="27"/>
      <c r="X47" s="164"/>
    </row>
    <row r="48" spans="16:24" x14ac:dyDescent="0.3">
      <c r="P48" s="163"/>
      <c r="Q48" s="27"/>
      <c r="R48" s="27"/>
      <c r="S48" s="27"/>
      <c r="T48" s="27"/>
      <c r="U48" s="27"/>
      <c r="V48" s="27"/>
      <c r="W48" s="27"/>
      <c r="X48" s="164"/>
    </row>
    <row r="49" spans="16:24" x14ac:dyDescent="0.3">
      <c r="P49" s="163"/>
      <c r="Q49" s="27"/>
      <c r="R49" s="27"/>
      <c r="S49" s="27"/>
      <c r="T49" s="27"/>
      <c r="U49" s="27"/>
      <c r="V49" s="27"/>
      <c r="W49" s="27"/>
      <c r="X49" s="164"/>
    </row>
    <row r="50" spans="16:24" x14ac:dyDescent="0.3">
      <c r="P50" s="163"/>
      <c r="Q50" s="27"/>
      <c r="R50" s="27"/>
      <c r="S50" s="27"/>
      <c r="T50" s="27"/>
      <c r="U50" s="27"/>
      <c r="V50" s="27"/>
      <c r="W50" s="27"/>
      <c r="X50" s="164"/>
    </row>
    <row r="51" spans="16:24" x14ac:dyDescent="0.3">
      <c r="P51" s="163"/>
      <c r="Q51" s="27"/>
      <c r="R51" s="27"/>
      <c r="S51" s="27"/>
      <c r="T51" s="27"/>
      <c r="U51" s="27"/>
      <c r="V51" s="27"/>
      <c r="W51" s="27"/>
      <c r="X51" s="164"/>
    </row>
    <row r="52" spans="16:24" x14ac:dyDescent="0.3">
      <c r="P52" s="163"/>
      <c r="Q52" s="27"/>
      <c r="R52" s="27"/>
      <c r="S52" s="27"/>
      <c r="T52" s="27"/>
      <c r="U52" s="27"/>
      <c r="V52" s="27"/>
      <c r="W52" s="27"/>
      <c r="X52" s="164"/>
    </row>
    <row r="53" spans="16:24" x14ac:dyDescent="0.3">
      <c r="P53" s="163"/>
      <c r="Q53" s="27"/>
      <c r="R53" s="27"/>
      <c r="S53" s="27"/>
      <c r="T53" s="27"/>
      <c r="U53" s="27"/>
      <c r="V53" s="27"/>
      <c r="W53" s="27"/>
      <c r="X53" s="164"/>
    </row>
    <row r="54" spans="16:24" x14ac:dyDescent="0.3">
      <c r="P54" s="163"/>
      <c r="Q54" s="27"/>
      <c r="R54" s="27"/>
      <c r="S54" s="27"/>
      <c r="T54" s="27"/>
      <c r="U54" s="27"/>
      <c r="V54" s="27"/>
      <c r="W54" s="27"/>
      <c r="X54" s="164"/>
    </row>
    <row r="55" spans="16:24" x14ac:dyDescent="0.3">
      <c r="P55" s="163"/>
      <c r="Q55" s="27"/>
      <c r="R55" s="27"/>
      <c r="S55" s="27"/>
      <c r="T55" s="27"/>
      <c r="U55" s="27"/>
      <c r="V55" s="27"/>
      <c r="W55" s="27"/>
      <c r="X55" s="164"/>
    </row>
    <row r="56" spans="16:24" ht="15" thickBot="1" x14ac:dyDescent="0.35">
      <c r="P56" s="125"/>
      <c r="Q56" s="126"/>
      <c r="R56" s="126"/>
      <c r="S56" s="126"/>
      <c r="T56" s="126"/>
      <c r="U56" s="126"/>
      <c r="V56" s="126"/>
      <c r="W56" s="126"/>
      <c r="X56" s="127"/>
    </row>
    <row r="57" spans="16:24" ht="15" thickTop="1" x14ac:dyDescent="0.3"/>
  </sheetData>
  <mergeCells count="13">
    <mergeCell ref="R23:W23"/>
    <mergeCell ref="B16:I16"/>
    <mergeCell ref="K16:N16"/>
    <mergeCell ref="B17:E17"/>
    <mergeCell ref="F17:I17"/>
    <mergeCell ref="D10:H10"/>
    <mergeCell ref="D11:H11"/>
    <mergeCell ref="D12:H12"/>
    <mergeCell ref="D5:H5"/>
    <mergeCell ref="D6:H6"/>
    <mergeCell ref="D7:H7"/>
    <mergeCell ref="D8:H8"/>
    <mergeCell ref="D9:H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A1:AF73"/>
  <sheetViews>
    <sheetView workbookViewId="0">
      <selection activeCell="C25" sqref="C25"/>
    </sheetView>
  </sheetViews>
  <sheetFormatPr defaultRowHeight="14.4" x14ac:dyDescent="0.3"/>
  <cols>
    <col min="1" max="1" width="20.21875" customWidth="1"/>
    <col min="2" max="9" width="11.77734375" customWidth="1"/>
    <col min="10" max="10" width="9.44140625" customWidth="1"/>
    <col min="11" max="14" width="11.77734375" customWidth="1"/>
    <col min="15" max="15" width="10" customWidth="1"/>
    <col min="16" max="16" width="3.77734375" customWidth="1"/>
    <col min="17" max="17" width="21.5546875" customWidth="1"/>
    <col min="18" max="23" width="13" customWidth="1"/>
    <col min="24" max="25" width="3.77734375" customWidth="1"/>
    <col min="26" max="31" width="13" customWidth="1"/>
    <col min="32" max="32" width="3.77734375" customWidth="1"/>
  </cols>
  <sheetData>
    <row r="1" spans="1:32" ht="24.6" thickTop="1" thickBot="1" x14ac:dyDescent="0.5">
      <c r="A1" s="38" t="s">
        <v>46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38" t="str">
        <f>CompanyName &amp;" Projected Capital Expenditure Annualised"</f>
        <v>WorkHorse Projected Capital Expenditure Annualised</v>
      </c>
      <c r="R1" s="225"/>
      <c r="S1" s="226"/>
      <c r="T1" s="226"/>
      <c r="U1" s="226"/>
      <c r="V1" s="226"/>
      <c r="W1" s="226"/>
      <c r="X1" s="228"/>
      <c r="Y1" s="227"/>
      <c r="Z1" s="38" t="str">
        <f>CompanyName &amp;" Projected Capital Expenditure Charts"</f>
        <v>WorkHorse Projected Capital Expenditure Charts</v>
      </c>
      <c r="AA1" s="225"/>
      <c r="AB1" s="226"/>
      <c r="AC1" s="226"/>
      <c r="AD1" s="226"/>
      <c r="AE1" s="226"/>
      <c r="AF1" s="228"/>
    </row>
    <row r="2" spans="1:32" ht="15" thickTop="1" x14ac:dyDescent="0.3">
      <c r="A2" s="36" t="str">
        <f>"Capital Expenditure ("&amp;SubHeader&amp;")"</f>
        <v>Capital Expenditure (USD)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  <c r="Y2" s="217"/>
      <c r="Z2" s="27"/>
      <c r="AA2" s="27"/>
      <c r="AB2" s="27"/>
      <c r="AC2" s="27"/>
      <c r="AD2" s="27"/>
      <c r="AE2" s="27"/>
      <c r="AF2" s="164"/>
    </row>
    <row r="3" spans="1:32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/>
      <c r="R3" s="27"/>
      <c r="S3" s="27"/>
      <c r="T3" s="27"/>
      <c r="U3" s="27"/>
      <c r="V3" s="27"/>
      <c r="W3" s="27"/>
      <c r="X3" s="164"/>
      <c r="Y3" s="217"/>
      <c r="Z3" s="218"/>
      <c r="AA3" s="27"/>
      <c r="AB3" s="27"/>
      <c r="AC3" s="27"/>
      <c r="AD3" s="27"/>
      <c r="AE3" s="27"/>
      <c r="AF3" s="164"/>
    </row>
    <row r="4" spans="1:32" ht="19.8" x14ac:dyDescent="0.4">
      <c r="A4" s="37" t="s">
        <v>276</v>
      </c>
      <c r="B4" s="28"/>
      <c r="C4" s="34"/>
      <c r="D4" s="34"/>
      <c r="E4" s="34"/>
      <c r="F4" s="34"/>
      <c r="G4" s="35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  <c r="Y4" s="217"/>
      <c r="Z4" s="27"/>
      <c r="AA4" s="27"/>
      <c r="AB4" s="27"/>
      <c r="AC4" s="27"/>
      <c r="AD4" s="27"/>
      <c r="AE4" s="27"/>
      <c r="AF4" s="164"/>
    </row>
    <row r="5" spans="1:32" s="47" customFormat="1" ht="46.8" x14ac:dyDescent="0.3">
      <c r="A5" s="45"/>
      <c r="B5" s="74" t="s">
        <v>45</v>
      </c>
      <c r="C5" s="74" t="s">
        <v>74</v>
      </c>
      <c r="D5" s="74" t="s">
        <v>75</v>
      </c>
      <c r="E5" s="75" t="s">
        <v>73</v>
      </c>
      <c r="F5" s="377" t="s">
        <v>18</v>
      </c>
      <c r="G5" s="377"/>
      <c r="H5" s="378"/>
      <c r="O5" s="46"/>
      <c r="P5" s="219"/>
      <c r="Q5" s="45"/>
      <c r="R5" s="45"/>
      <c r="S5" s="45"/>
      <c r="T5" s="45"/>
      <c r="U5" s="45"/>
      <c r="V5" s="45"/>
      <c r="W5" s="45"/>
      <c r="X5" s="220"/>
      <c r="Y5" s="219"/>
      <c r="Z5" s="45"/>
      <c r="AA5" s="45"/>
      <c r="AB5" s="45"/>
      <c r="AC5" s="45"/>
      <c r="AD5" s="45"/>
      <c r="AE5" s="45"/>
      <c r="AF5" s="220"/>
    </row>
    <row r="6" spans="1:32" ht="15.6" x14ac:dyDescent="0.3">
      <c r="A6" s="323" t="s">
        <v>78</v>
      </c>
      <c r="B6" s="310">
        <v>0</v>
      </c>
      <c r="C6" s="324">
        <v>44075</v>
      </c>
      <c r="D6" s="325"/>
      <c r="E6" s="326"/>
      <c r="F6" s="356"/>
      <c r="G6" s="356"/>
      <c r="H6" s="357"/>
      <c r="K6" s="47"/>
      <c r="L6" s="47"/>
      <c r="M6" s="47"/>
      <c r="N6" s="47"/>
      <c r="O6" s="46"/>
      <c r="P6" s="217"/>
      <c r="Q6" s="27"/>
      <c r="R6" s="27"/>
      <c r="S6" s="27"/>
      <c r="T6" s="27"/>
      <c r="U6" s="27"/>
      <c r="V6" s="27"/>
      <c r="W6" s="27"/>
      <c r="X6" s="164"/>
      <c r="Y6" s="217"/>
      <c r="Z6" s="27"/>
      <c r="AA6" s="27"/>
      <c r="AB6" s="27"/>
      <c r="AC6" s="27"/>
      <c r="AD6" s="27"/>
      <c r="AE6" s="27"/>
      <c r="AF6" s="164"/>
    </row>
    <row r="7" spans="1:32" ht="15.6" x14ac:dyDescent="0.3">
      <c r="A7" s="327" t="s">
        <v>81</v>
      </c>
      <c r="B7" s="310">
        <v>0</v>
      </c>
      <c r="C7" s="324">
        <v>44136</v>
      </c>
      <c r="D7" s="325"/>
      <c r="E7" s="326"/>
      <c r="F7" s="356"/>
      <c r="G7" s="356"/>
      <c r="H7" s="357"/>
      <c r="K7" s="47"/>
      <c r="L7" s="47"/>
      <c r="M7" s="47"/>
      <c r="N7" s="47"/>
      <c r="O7" s="46"/>
      <c r="P7" s="217"/>
      <c r="Q7" s="27"/>
      <c r="R7" s="27"/>
      <c r="S7" s="27"/>
      <c r="T7" s="27"/>
      <c r="U7" s="27"/>
      <c r="V7" s="27"/>
      <c r="W7" s="27"/>
      <c r="X7" s="164"/>
      <c r="Y7" s="217"/>
      <c r="Z7" s="27"/>
      <c r="AA7" s="27"/>
      <c r="AB7" s="27"/>
      <c r="AC7" s="27"/>
      <c r="AD7" s="27"/>
      <c r="AE7" s="27"/>
      <c r="AF7" s="164"/>
    </row>
    <row r="8" spans="1:32" ht="15.6" x14ac:dyDescent="0.3">
      <c r="A8" s="327" t="s">
        <v>76</v>
      </c>
      <c r="B8" s="310">
        <v>0</v>
      </c>
      <c r="C8" s="324">
        <v>44136</v>
      </c>
      <c r="D8" s="325"/>
      <c r="E8" s="326"/>
      <c r="F8" s="356"/>
      <c r="G8" s="356"/>
      <c r="H8" s="357"/>
      <c r="K8" s="47"/>
      <c r="L8" s="47"/>
      <c r="M8" s="47"/>
      <c r="N8" s="47"/>
      <c r="O8" s="46"/>
      <c r="P8" s="217"/>
      <c r="Q8" s="27"/>
      <c r="R8" s="27"/>
      <c r="S8" s="27"/>
      <c r="T8" s="27"/>
      <c r="U8" s="27"/>
      <c r="V8" s="27"/>
      <c r="W8" s="27"/>
      <c r="X8" s="164"/>
      <c r="Y8" s="217"/>
      <c r="Z8" s="27"/>
      <c r="AA8" s="27"/>
      <c r="AB8" s="27"/>
      <c r="AC8" s="27"/>
      <c r="AD8" s="27"/>
      <c r="AE8" s="27"/>
      <c r="AF8" s="164"/>
    </row>
    <row r="9" spans="1:32" ht="15.6" x14ac:dyDescent="0.3">
      <c r="A9" s="327" t="s">
        <v>77</v>
      </c>
      <c r="B9" s="310">
        <v>0</v>
      </c>
      <c r="C9" s="324">
        <v>44348</v>
      </c>
      <c r="D9" s="325"/>
      <c r="E9" s="326"/>
      <c r="F9" s="356"/>
      <c r="G9" s="356"/>
      <c r="H9" s="357"/>
      <c r="K9" s="47"/>
      <c r="L9" s="47"/>
      <c r="M9" s="47"/>
      <c r="N9" s="47"/>
      <c r="O9" s="46"/>
      <c r="P9" s="217"/>
      <c r="Q9" s="27"/>
      <c r="R9" s="27"/>
      <c r="S9" s="27"/>
      <c r="T9" s="27"/>
      <c r="U9" s="27"/>
      <c r="V9" s="27"/>
      <c r="W9" s="27"/>
      <c r="X9" s="164"/>
      <c r="Y9" s="217"/>
      <c r="Z9" s="27"/>
      <c r="AA9" s="27"/>
      <c r="AB9" s="27"/>
      <c r="AC9" s="27"/>
      <c r="AD9" s="27"/>
      <c r="AE9" s="27"/>
      <c r="AF9" s="164"/>
    </row>
    <row r="10" spans="1:32" ht="15.6" x14ac:dyDescent="0.3">
      <c r="A10" s="327" t="s">
        <v>217</v>
      </c>
      <c r="B10" s="310">
        <v>0</v>
      </c>
      <c r="C10" s="324">
        <v>44378</v>
      </c>
      <c r="D10" s="325"/>
      <c r="E10" s="326"/>
      <c r="F10" s="356"/>
      <c r="G10" s="356"/>
      <c r="H10" s="357"/>
      <c r="K10" s="47"/>
      <c r="L10" s="47"/>
      <c r="M10" s="47"/>
      <c r="N10" s="47"/>
      <c r="O10" s="46"/>
      <c r="P10" s="217"/>
      <c r="Q10" s="27"/>
      <c r="R10" s="27"/>
      <c r="S10" s="27"/>
      <c r="T10" s="27"/>
      <c r="U10" s="27"/>
      <c r="V10" s="27"/>
      <c r="W10" s="27"/>
      <c r="X10" s="164"/>
      <c r="Y10" s="217"/>
      <c r="Z10" s="27"/>
      <c r="AA10" s="27"/>
      <c r="AB10" s="27"/>
      <c r="AC10" s="27"/>
      <c r="AD10" s="27"/>
      <c r="AE10" s="27"/>
      <c r="AF10" s="164"/>
    </row>
    <row r="11" spans="1:32" ht="15.6" x14ac:dyDescent="0.3">
      <c r="A11" s="327" t="s">
        <v>219</v>
      </c>
      <c r="B11" s="328">
        <v>0</v>
      </c>
      <c r="C11" s="324">
        <v>44409</v>
      </c>
      <c r="D11" s="325"/>
      <c r="E11" s="326"/>
      <c r="F11" s="356"/>
      <c r="G11" s="356"/>
      <c r="H11" s="357"/>
      <c r="K11" s="47"/>
      <c r="L11" s="47"/>
      <c r="M11" s="47"/>
      <c r="N11" s="47"/>
      <c r="O11" s="46"/>
      <c r="P11" s="217"/>
      <c r="Q11" s="27"/>
      <c r="R11" s="27"/>
      <c r="S11" s="27"/>
      <c r="T11" s="27"/>
      <c r="U11" s="27"/>
      <c r="V11" s="27"/>
      <c r="W11" s="27"/>
      <c r="X11" s="164"/>
      <c r="Y11" s="217"/>
      <c r="Z11" s="27"/>
      <c r="AA11" s="27"/>
      <c r="AB11" s="27"/>
      <c r="AC11" s="27"/>
      <c r="AD11" s="27"/>
      <c r="AE11" s="27"/>
      <c r="AF11" s="164"/>
    </row>
    <row r="12" spans="1:32" ht="15.6" x14ac:dyDescent="0.3">
      <c r="A12" s="327" t="s">
        <v>79</v>
      </c>
      <c r="B12" s="310">
        <v>0</v>
      </c>
      <c r="C12" s="324">
        <v>44652</v>
      </c>
      <c r="D12" s="325"/>
      <c r="E12" s="326"/>
      <c r="F12" s="356"/>
      <c r="G12" s="356"/>
      <c r="H12" s="357"/>
      <c r="K12" s="47"/>
      <c r="L12" s="47"/>
      <c r="M12" s="47"/>
      <c r="N12" s="47"/>
      <c r="O12" s="46"/>
      <c r="P12" s="217"/>
      <c r="Q12" s="27"/>
      <c r="R12" s="27"/>
      <c r="S12" s="27"/>
      <c r="T12" s="27"/>
      <c r="U12" s="27"/>
      <c r="V12" s="27"/>
      <c r="W12" s="27"/>
      <c r="X12" s="164"/>
      <c r="Y12" s="217"/>
      <c r="Z12" s="27"/>
      <c r="AA12" s="27"/>
      <c r="AB12" s="27"/>
      <c r="AC12" s="27"/>
      <c r="AD12" s="27"/>
      <c r="AE12" s="27"/>
      <c r="AF12" s="164"/>
    </row>
    <row r="13" spans="1:32" ht="15.6" x14ac:dyDescent="0.3">
      <c r="A13" s="327" t="s">
        <v>218</v>
      </c>
      <c r="B13" s="328">
        <v>0</v>
      </c>
      <c r="C13" s="324">
        <v>45017</v>
      </c>
      <c r="D13" s="325"/>
      <c r="E13" s="326"/>
      <c r="F13" s="356"/>
      <c r="G13" s="356"/>
      <c r="H13" s="357"/>
      <c r="K13" s="47"/>
      <c r="L13" s="47"/>
      <c r="M13" s="47"/>
      <c r="N13" s="47"/>
      <c r="O13" s="46"/>
      <c r="P13" s="163"/>
      <c r="Q13" s="27"/>
      <c r="R13" s="27"/>
      <c r="S13" s="27"/>
      <c r="T13" s="27"/>
      <c r="U13" s="27"/>
      <c r="V13" s="27"/>
      <c r="W13" s="27"/>
      <c r="X13" s="164"/>
      <c r="Y13" s="163"/>
      <c r="Z13" s="27"/>
      <c r="AA13" s="27"/>
      <c r="AB13" s="27"/>
      <c r="AC13" s="27"/>
      <c r="AD13" s="27"/>
      <c r="AE13" s="27"/>
      <c r="AF13" s="164"/>
    </row>
    <row r="14" spans="1:32" ht="15.6" x14ac:dyDescent="0.3">
      <c r="A14" s="327" t="s">
        <v>220</v>
      </c>
      <c r="B14" s="328">
        <v>0</v>
      </c>
      <c r="C14" s="324">
        <v>45901</v>
      </c>
      <c r="D14" s="325"/>
      <c r="E14" s="326"/>
      <c r="F14" s="356"/>
      <c r="G14" s="356"/>
      <c r="H14" s="357"/>
      <c r="K14" s="47"/>
      <c r="L14" s="47"/>
      <c r="M14" s="47"/>
      <c r="N14" s="47"/>
      <c r="O14" s="46"/>
      <c r="P14" s="163"/>
      <c r="Q14" s="27"/>
      <c r="R14" s="27"/>
      <c r="S14" s="27"/>
      <c r="T14" s="27"/>
      <c r="U14" s="27"/>
      <c r="V14" s="27"/>
      <c r="W14" s="27"/>
      <c r="X14" s="164"/>
      <c r="Y14" s="163"/>
      <c r="Z14" s="27"/>
      <c r="AA14" s="27"/>
      <c r="AB14" s="27"/>
      <c r="AC14" s="27"/>
      <c r="AD14" s="27"/>
      <c r="AE14" s="27"/>
      <c r="AF14" s="164"/>
    </row>
    <row r="15" spans="1:32" x14ac:dyDescent="0.3">
      <c r="A15" s="327" t="s">
        <v>80</v>
      </c>
      <c r="B15" s="328"/>
      <c r="C15" s="324"/>
      <c r="D15" s="325"/>
      <c r="E15" s="326"/>
      <c r="F15" s="356"/>
      <c r="G15" s="356"/>
      <c r="H15" s="357"/>
      <c r="N15" s="35"/>
      <c r="O15" s="32"/>
      <c r="P15" s="163"/>
      <c r="Q15" s="27"/>
      <c r="R15" s="27"/>
      <c r="S15" s="27"/>
      <c r="T15" s="27"/>
      <c r="U15" s="27"/>
      <c r="V15" s="27"/>
      <c r="W15" s="27"/>
      <c r="X15" s="164"/>
      <c r="Y15" s="163"/>
      <c r="Z15" s="27"/>
      <c r="AA15" s="27"/>
      <c r="AB15" s="27"/>
      <c r="AC15" s="27"/>
      <c r="AD15" s="27"/>
      <c r="AE15" s="27"/>
      <c r="AF15" s="164"/>
    </row>
    <row r="16" spans="1:32" ht="15" thickBot="1" x14ac:dyDescent="0.35">
      <c r="A16" s="329" t="s">
        <v>80</v>
      </c>
      <c r="B16" s="330"/>
      <c r="C16" s="331"/>
      <c r="D16" s="332"/>
      <c r="E16" s="333"/>
      <c r="F16" s="354"/>
      <c r="G16" s="354"/>
      <c r="H16" s="355"/>
      <c r="N16" s="35"/>
      <c r="O16" s="32"/>
      <c r="P16" s="125"/>
      <c r="Q16" s="126"/>
      <c r="R16" s="126"/>
      <c r="S16" s="126"/>
      <c r="T16" s="126"/>
      <c r="U16" s="126"/>
      <c r="V16" s="126"/>
      <c r="W16" s="126"/>
      <c r="X16" s="127"/>
      <c r="Y16" s="125"/>
      <c r="Z16" s="126"/>
      <c r="AA16" s="126"/>
      <c r="AB16" s="126"/>
      <c r="AC16" s="126"/>
      <c r="AD16" s="126"/>
      <c r="AE16" s="126"/>
      <c r="AF16" s="127"/>
    </row>
    <row r="17" spans="1:32" ht="15" thickTop="1" x14ac:dyDescent="0.3">
      <c r="A17" s="64"/>
      <c r="B17" s="34"/>
      <c r="C17" s="64"/>
      <c r="D17" s="64"/>
      <c r="E17" s="64"/>
      <c r="F17" s="34"/>
      <c r="G17" s="34"/>
      <c r="H17" s="35"/>
      <c r="I17" s="35"/>
      <c r="J17" s="35"/>
      <c r="K17" s="35"/>
      <c r="L17" s="35"/>
      <c r="M17" s="35"/>
      <c r="N17" s="35"/>
      <c r="O17" s="32"/>
      <c r="P17" s="221"/>
      <c r="Q17" s="222"/>
      <c r="R17" s="222"/>
      <c r="S17" s="222"/>
      <c r="T17" s="222"/>
      <c r="U17" s="222"/>
      <c r="V17" s="222"/>
      <c r="W17" s="222"/>
      <c r="X17" s="216"/>
      <c r="Y17" s="221"/>
      <c r="Z17" s="222"/>
      <c r="AA17" s="222"/>
      <c r="AB17" s="222"/>
      <c r="AC17" s="222"/>
      <c r="AD17" s="222"/>
      <c r="AE17" s="222"/>
      <c r="AF17" s="216"/>
    </row>
    <row r="18" spans="1:32" ht="17.399999999999999" x14ac:dyDescent="0.35">
      <c r="P18" s="163"/>
      <c r="R18" s="27"/>
      <c r="S18" s="27"/>
      <c r="T18" s="27"/>
      <c r="U18" s="27"/>
      <c r="V18" s="27"/>
      <c r="W18" s="27"/>
      <c r="X18" s="164"/>
      <c r="Y18" s="163"/>
      <c r="Z18" s="218"/>
      <c r="AA18" s="27"/>
      <c r="AB18" s="27"/>
      <c r="AC18" s="27"/>
      <c r="AD18" s="27"/>
      <c r="AE18" s="27"/>
      <c r="AF18" s="164"/>
    </row>
    <row r="19" spans="1:32" ht="19.8" x14ac:dyDescent="0.4">
      <c r="A19" s="41" t="s">
        <v>239</v>
      </c>
      <c r="O19" s="32"/>
      <c r="P19" s="163"/>
      <c r="Q19" s="230" t="str">
        <f>A19</f>
        <v>Capital Expenditure - Impact on Income Statement (Depreciation &amp; Amortization)</v>
      </c>
      <c r="X19" s="164"/>
      <c r="Y19" s="163"/>
      <c r="AF19" s="164"/>
    </row>
    <row r="20" spans="1:32" ht="17.399999999999999" x14ac:dyDescent="0.35">
      <c r="A20" s="36"/>
      <c r="B20" s="343" t="s">
        <v>167</v>
      </c>
      <c r="C20" s="344"/>
      <c r="D20" s="344"/>
      <c r="E20" s="344"/>
      <c r="F20" s="344"/>
      <c r="G20" s="344"/>
      <c r="H20" s="344"/>
      <c r="I20" s="345"/>
      <c r="J20" s="243"/>
      <c r="K20" s="351" t="s">
        <v>166</v>
      </c>
      <c r="L20" s="352"/>
      <c r="M20" s="352"/>
      <c r="N20" s="353"/>
      <c r="O20" s="32"/>
      <c r="P20" s="163"/>
      <c r="Q20" s="218" t="s">
        <v>211</v>
      </c>
      <c r="X20" s="164"/>
      <c r="Y20" s="163"/>
      <c r="AF20" s="164"/>
    </row>
    <row r="21" spans="1:32" s="61" customFormat="1" x14ac:dyDescent="0.3">
      <c r="A21" s="36"/>
      <c r="B21" s="346" t="s">
        <v>205</v>
      </c>
      <c r="C21" s="347"/>
      <c r="D21" s="347"/>
      <c r="E21" s="348"/>
      <c r="F21" s="349" t="s">
        <v>206</v>
      </c>
      <c r="G21" s="347"/>
      <c r="H21" s="347"/>
      <c r="I21" s="350"/>
      <c r="J21" s="243"/>
      <c r="K21" s="108" t="s">
        <v>145</v>
      </c>
      <c r="L21" s="109" t="s">
        <v>146</v>
      </c>
      <c r="M21" s="109" t="s">
        <v>147</v>
      </c>
      <c r="N21" s="110" t="s">
        <v>243</v>
      </c>
      <c r="P21" s="163"/>
      <c r="Q21"/>
      <c r="R21" s="351" t="s">
        <v>212</v>
      </c>
      <c r="S21" s="352"/>
      <c r="T21" s="352"/>
      <c r="U21" s="352"/>
      <c r="V21" s="352"/>
      <c r="W21" s="353"/>
      <c r="X21" s="164"/>
      <c r="Y21" s="163"/>
      <c r="Z21"/>
      <c r="AA21"/>
      <c r="AB21"/>
      <c r="AC21"/>
      <c r="AD21"/>
      <c r="AE21"/>
      <c r="AF21" s="164"/>
    </row>
    <row r="22" spans="1:32" x14ac:dyDescent="0.3">
      <c r="A22" s="59"/>
      <c r="B22" s="104">
        <f>StartDate</f>
        <v>43921</v>
      </c>
      <c r="C22" s="60">
        <f>EDATE(B22,3)</f>
        <v>44012</v>
      </c>
      <c r="D22" s="60">
        <f t="shared" ref="D22" si="0">EDATE(C22,3)</f>
        <v>44104</v>
      </c>
      <c r="E22" s="60">
        <f t="shared" ref="E22" si="1">EDATE(D22,3)</f>
        <v>44195</v>
      </c>
      <c r="F22" s="60">
        <f t="shared" ref="F22" si="2">EDATE(E22,3)</f>
        <v>44285</v>
      </c>
      <c r="G22" s="60">
        <f t="shared" ref="G22" si="3">EDATE(F22,3)</f>
        <v>44377</v>
      </c>
      <c r="H22" s="60">
        <f t="shared" ref="H22" si="4">EDATE(G22,3)</f>
        <v>44469</v>
      </c>
      <c r="I22" s="100">
        <f t="shared" ref="I22" si="5">EDATE(H22,3)</f>
        <v>44560</v>
      </c>
      <c r="J22" s="243"/>
      <c r="K22" s="104">
        <f>EDATE(I22,3)</f>
        <v>44650</v>
      </c>
      <c r="L22" s="60">
        <f t="shared" ref="L22" si="6">EDATE(K22,12)</f>
        <v>45015</v>
      </c>
      <c r="M22" s="60">
        <f t="shared" ref="M22:N22" si="7">EDATE(L22,12)</f>
        <v>45381</v>
      </c>
      <c r="N22" s="107">
        <f t="shared" si="7"/>
        <v>45746</v>
      </c>
      <c r="P22" s="163"/>
      <c r="R22" s="108" t="s">
        <v>205</v>
      </c>
      <c r="S22" s="109" t="s">
        <v>206</v>
      </c>
      <c r="T22" s="109" t="s">
        <v>145</v>
      </c>
      <c r="U22" s="109" t="s">
        <v>146</v>
      </c>
      <c r="V22" s="109" t="s">
        <v>147</v>
      </c>
      <c r="W22" s="110" t="s">
        <v>243</v>
      </c>
      <c r="X22" s="164"/>
      <c r="Y22" s="163"/>
      <c r="AF22" s="164"/>
    </row>
    <row r="23" spans="1:32" x14ac:dyDescent="0.3">
      <c r="A23" s="42" t="str">
        <f t="shared" ref="A23:A33" si="8">A41</f>
        <v>Lab Tools</v>
      </c>
      <c r="B23" s="120">
        <f>IF(B59&gt;0,$B6/$D6/4,0)</f>
        <v>0</v>
      </c>
      <c r="C23" s="51">
        <f t="shared" ref="C23:I23" si="9">IF(C59&gt;0,$B6/$D6/4,0)</f>
        <v>0</v>
      </c>
      <c r="D23" s="51">
        <f t="shared" si="9"/>
        <v>0</v>
      </c>
      <c r="E23" s="51">
        <f t="shared" si="9"/>
        <v>0</v>
      </c>
      <c r="F23" s="51">
        <f t="shared" si="9"/>
        <v>0</v>
      </c>
      <c r="G23" s="51">
        <f t="shared" si="9"/>
        <v>0</v>
      </c>
      <c r="H23" s="51">
        <f t="shared" si="9"/>
        <v>0</v>
      </c>
      <c r="I23" s="121">
        <f t="shared" si="9"/>
        <v>0</v>
      </c>
      <c r="J23" s="243"/>
      <c r="K23" s="120">
        <f>IF(K59&gt;0,$B6/$D6,0)</f>
        <v>0</v>
      </c>
      <c r="L23" s="51">
        <f t="shared" ref="L23:N23" si="10">IF(L59&gt;0,$B6/$D6,0)</f>
        <v>0</v>
      </c>
      <c r="M23" s="51">
        <f t="shared" si="10"/>
        <v>0</v>
      </c>
      <c r="N23" s="121">
        <f t="shared" si="10"/>
        <v>0</v>
      </c>
      <c r="P23" s="163"/>
      <c r="R23" s="104">
        <f>B22</f>
        <v>43921</v>
      </c>
      <c r="S23" s="60">
        <f>F22</f>
        <v>44285</v>
      </c>
      <c r="T23" s="60">
        <f t="shared" ref="T23:T33" si="11">K22</f>
        <v>44650</v>
      </c>
      <c r="U23" s="60">
        <f t="shared" ref="U23:U33" si="12">L22</f>
        <v>45015</v>
      </c>
      <c r="V23" s="60">
        <f t="shared" ref="V23:V33" si="13">M22</f>
        <v>45381</v>
      </c>
      <c r="W23" s="107">
        <f t="shared" ref="W23:W33" si="14">N22</f>
        <v>45746</v>
      </c>
      <c r="X23" s="164"/>
      <c r="Y23" s="163"/>
      <c r="AF23" s="164"/>
    </row>
    <row r="24" spans="1:32" x14ac:dyDescent="0.3">
      <c r="A24" s="42" t="str">
        <f t="shared" si="8"/>
        <v>Product Testing Unit</v>
      </c>
      <c r="B24" s="120">
        <f>IF(B60&gt;0,$B7/$D7/4,0)</f>
        <v>0</v>
      </c>
      <c r="C24" s="51">
        <f t="shared" ref="C24:I24" si="15">IF(C60&gt;0,$B7/$D7/4,0)</f>
        <v>0</v>
      </c>
      <c r="D24" s="51">
        <f t="shared" si="15"/>
        <v>0</v>
      </c>
      <c r="E24" s="51">
        <f t="shared" si="15"/>
        <v>0</v>
      </c>
      <c r="F24" s="51">
        <f t="shared" si="15"/>
        <v>0</v>
      </c>
      <c r="G24" s="51">
        <f t="shared" si="15"/>
        <v>0</v>
      </c>
      <c r="H24" s="51">
        <f t="shared" si="15"/>
        <v>0</v>
      </c>
      <c r="I24" s="121">
        <f t="shared" si="15"/>
        <v>0</v>
      </c>
      <c r="J24" s="243"/>
      <c r="K24" s="120">
        <f t="shared" ref="K24:N33" si="16">IF(K60&gt;0,$B7/$D7,0)</f>
        <v>0</v>
      </c>
      <c r="L24" s="51">
        <f t="shared" si="16"/>
        <v>0</v>
      </c>
      <c r="M24" s="51">
        <f t="shared" si="16"/>
        <v>0</v>
      </c>
      <c r="N24" s="121">
        <f t="shared" si="16"/>
        <v>0</v>
      </c>
      <c r="P24" s="163"/>
      <c r="Q24" s="212" t="str">
        <f t="shared" ref="Q24:Q33" si="17">A23</f>
        <v>Lab Tools</v>
      </c>
      <c r="R24" s="105">
        <f t="shared" ref="R24:R33" si="18">SUM(B23:E23)</f>
        <v>0</v>
      </c>
      <c r="S24" s="98">
        <f t="shared" ref="S24:S33" si="19">SUM(F23:I23)</f>
        <v>0</v>
      </c>
      <c r="T24" s="98">
        <f t="shared" si="11"/>
        <v>0</v>
      </c>
      <c r="U24" s="98">
        <f t="shared" si="12"/>
        <v>0</v>
      </c>
      <c r="V24" s="98">
        <f t="shared" si="13"/>
        <v>0</v>
      </c>
      <c r="W24" s="101">
        <f t="shared" si="14"/>
        <v>0</v>
      </c>
      <c r="X24" s="164"/>
      <c r="Y24" s="163"/>
      <c r="AF24" s="164"/>
    </row>
    <row r="25" spans="1:32" x14ac:dyDescent="0.3">
      <c r="A25" s="42" t="str">
        <f t="shared" si="8"/>
        <v>Office Furniture</v>
      </c>
      <c r="B25" s="120">
        <f t="shared" ref="B25:I33" si="20">IF(B61&gt;0,$B8/$D8/4,0)</f>
        <v>0</v>
      </c>
      <c r="C25" s="51">
        <f t="shared" si="20"/>
        <v>0</v>
      </c>
      <c r="D25" s="51">
        <f t="shared" si="20"/>
        <v>0</v>
      </c>
      <c r="E25" s="51">
        <f t="shared" si="20"/>
        <v>0</v>
      </c>
      <c r="F25" s="51">
        <f t="shared" si="20"/>
        <v>0</v>
      </c>
      <c r="G25" s="51">
        <f t="shared" si="20"/>
        <v>0</v>
      </c>
      <c r="H25" s="51">
        <f t="shared" si="20"/>
        <v>0</v>
      </c>
      <c r="I25" s="121">
        <f t="shared" si="20"/>
        <v>0</v>
      </c>
      <c r="J25" s="243"/>
      <c r="K25" s="120">
        <f t="shared" si="16"/>
        <v>0</v>
      </c>
      <c r="L25" s="51">
        <f t="shared" si="16"/>
        <v>0</v>
      </c>
      <c r="M25" s="51">
        <f t="shared" si="16"/>
        <v>0</v>
      </c>
      <c r="N25" s="121">
        <f t="shared" si="16"/>
        <v>0</v>
      </c>
      <c r="P25" s="163"/>
      <c r="Q25" s="212" t="str">
        <f t="shared" si="17"/>
        <v>Product Testing Unit</v>
      </c>
      <c r="R25" s="105">
        <f t="shared" si="18"/>
        <v>0</v>
      </c>
      <c r="S25" s="98">
        <f t="shared" si="19"/>
        <v>0</v>
      </c>
      <c r="T25" s="98">
        <f t="shared" si="11"/>
        <v>0</v>
      </c>
      <c r="U25" s="98">
        <f t="shared" si="12"/>
        <v>0</v>
      </c>
      <c r="V25" s="98">
        <f t="shared" si="13"/>
        <v>0</v>
      </c>
      <c r="W25" s="101">
        <f t="shared" si="14"/>
        <v>0</v>
      </c>
      <c r="X25" s="164"/>
      <c r="Y25" s="163"/>
      <c r="AF25" s="164"/>
    </row>
    <row r="26" spans="1:32" x14ac:dyDescent="0.3">
      <c r="A26" s="42" t="str">
        <f t="shared" si="8"/>
        <v>Company Vehicle</v>
      </c>
      <c r="B26" s="120">
        <f t="shared" si="20"/>
        <v>0</v>
      </c>
      <c r="C26" s="51">
        <f t="shared" si="20"/>
        <v>0</v>
      </c>
      <c r="D26" s="51">
        <f t="shared" si="20"/>
        <v>0</v>
      </c>
      <c r="E26" s="51">
        <f t="shared" si="20"/>
        <v>0</v>
      </c>
      <c r="F26" s="51">
        <f t="shared" si="20"/>
        <v>0</v>
      </c>
      <c r="G26" s="51">
        <f t="shared" si="20"/>
        <v>0</v>
      </c>
      <c r="H26" s="51">
        <f t="shared" si="20"/>
        <v>0</v>
      </c>
      <c r="I26" s="121">
        <f t="shared" si="20"/>
        <v>0</v>
      </c>
      <c r="J26" s="243"/>
      <c r="K26" s="120">
        <f t="shared" si="16"/>
        <v>0</v>
      </c>
      <c r="L26" s="51">
        <f t="shared" si="16"/>
        <v>0</v>
      </c>
      <c r="M26" s="51">
        <f t="shared" si="16"/>
        <v>0</v>
      </c>
      <c r="N26" s="121">
        <f t="shared" si="16"/>
        <v>0</v>
      </c>
      <c r="P26" s="163"/>
      <c r="Q26" s="212" t="str">
        <f t="shared" si="17"/>
        <v>Office Furniture</v>
      </c>
      <c r="R26" s="105">
        <f t="shared" si="18"/>
        <v>0</v>
      </c>
      <c r="S26" s="98">
        <f t="shared" si="19"/>
        <v>0</v>
      </c>
      <c r="T26" s="98">
        <f t="shared" si="11"/>
        <v>0</v>
      </c>
      <c r="U26" s="98">
        <f t="shared" si="12"/>
        <v>0</v>
      </c>
      <c r="V26" s="98">
        <f t="shared" si="13"/>
        <v>0</v>
      </c>
      <c r="W26" s="101">
        <f t="shared" si="14"/>
        <v>0</v>
      </c>
      <c r="X26" s="164"/>
      <c r="Y26" s="163"/>
      <c r="AF26" s="164"/>
    </row>
    <row r="27" spans="1:32" x14ac:dyDescent="0.3">
      <c r="A27" s="42" t="str">
        <f t="shared" si="8"/>
        <v>High Cap Testing Unit</v>
      </c>
      <c r="B27" s="120">
        <f t="shared" si="20"/>
        <v>0</v>
      </c>
      <c r="C27" s="51">
        <f t="shared" si="20"/>
        <v>0</v>
      </c>
      <c r="D27" s="51">
        <f t="shared" si="20"/>
        <v>0</v>
      </c>
      <c r="E27" s="51">
        <f t="shared" si="20"/>
        <v>0</v>
      </c>
      <c r="F27" s="51">
        <f t="shared" si="20"/>
        <v>0</v>
      </c>
      <c r="G27" s="51">
        <f t="shared" si="20"/>
        <v>0</v>
      </c>
      <c r="H27" s="51">
        <f t="shared" si="20"/>
        <v>0</v>
      </c>
      <c r="I27" s="121">
        <f t="shared" si="20"/>
        <v>0</v>
      </c>
      <c r="J27" s="243"/>
      <c r="K27" s="120">
        <f t="shared" si="16"/>
        <v>0</v>
      </c>
      <c r="L27" s="51">
        <f t="shared" si="16"/>
        <v>0</v>
      </c>
      <c r="M27" s="51">
        <f t="shared" si="16"/>
        <v>0</v>
      </c>
      <c r="N27" s="121">
        <f t="shared" si="16"/>
        <v>0</v>
      </c>
      <c r="P27" s="163"/>
      <c r="Q27" s="212" t="str">
        <f t="shared" si="17"/>
        <v>Company Vehicle</v>
      </c>
      <c r="R27" s="105">
        <f t="shared" si="18"/>
        <v>0</v>
      </c>
      <c r="S27" s="98">
        <f t="shared" si="19"/>
        <v>0</v>
      </c>
      <c r="T27" s="98">
        <f t="shared" si="11"/>
        <v>0</v>
      </c>
      <c r="U27" s="98">
        <f t="shared" si="12"/>
        <v>0</v>
      </c>
      <c r="V27" s="98">
        <f t="shared" si="13"/>
        <v>0</v>
      </c>
      <c r="W27" s="101">
        <f t="shared" si="14"/>
        <v>0</v>
      </c>
      <c r="X27" s="164"/>
      <c r="Y27" s="163"/>
      <c r="AF27" s="164"/>
    </row>
    <row r="28" spans="1:32" x14ac:dyDescent="0.3">
      <c r="A28" s="42" t="str">
        <f t="shared" si="8"/>
        <v>Office Furniture US</v>
      </c>
      <c r="B28" s="120">
        <f t="shared" si="20"/>
        <v>0</v>
      </c>
      <c r="C28" s="51">
        <f t="shared" si="20"/>
        <v>0</v>
      </c>
      <c r="D28" s="51">
        <f t="shared" si="20"/>
        <v>0</v>
      </c>
      <c r="E28" s="51">
        <f t="shared" si="20"/>
        <v>0</v>
      </c>
      <c r="F28" s="51">
        <f t="shared" si="20"/>
        <v>0</v>
      </c>
      <c r="G28" s="51">
        <f t="shared" si="20"/>
        <v>0</v>
      </c>
      <c r="H28" s="51">
        <f t="shared" si="20"/>
        <v>0</v>
      </c>
      <c r="I28" s="121">
        <f t="shared" si="20"/>
        <v>0</v>
      </c>
      <c r="J28" s="243"/>
      <c r="K28" s="120">
        <f t="shared" si="16"/>
        <v>0</v>
      </c>
      <c r="L28" s="51">
        <f t="shared" si="16"/>
        <v>0</v>
      </c>
      <c r="M28" s="51">
        <f t="shared" si="16"/>
        <v>0</v>
      </c>
      <c r="N28" s="121">
        <f t="shared" si="16"/>
        <v>0</v>
      </c>
      <c r="P28" s="163"/>
      <c r="Q28" s="212" t="str">
        <f t="shared" si="17"/>
        <v>High Cap Testing Unit</v>
      </c>
      <c r="R28" s="105">
        <f t="shared" si="18"/>
        <v>0</v>
      </c>
      <c r="S28" s="98">
        <f t="shared" si="19"/>
        <v>0</v>
      </c>
      <c r="T28" s="98">
        <f t="shared" si="11"/>
        <v>0</v>
      </c>
      <c r="U28" s="98">
        <f t="shared" si="12"/>
        <v>0</v>
      </c>
      <c r="V28" s="98">
        <f t="shared" si="13"/>
        <v>0</v>
      </c>
      <c r="W28" s="101">
        <f t="shared" si="14"/>
        <v>0</v>
      </c>
      <c r="X28" s="164"/>
      <c r="Y28" s="163"/>
      <c r="AF28" s="164"/>
    </row>
    <row r="29" spans="1:32" x14ac:dyDescent="0.3">
      <c r="A29" s="42" t="str">
        <f t="shared" si="8"/>
        <v>Storage Racks</v>
      </c>
      <c r="B29" s="120">
        <f t="shared" si="20"/>
        <v>0</v>
      </c>
      <c r="C29" s="51">
        <f t="shared" si="20"/>
        <v>0</v>
      </c>
      <c r="D29" s="51">
        <f t="shared" si="20"/>
        <v>0</v>
      </c>
      <c r="E29" s="51">
        <f t="shared" si="20"/>
        <v>0</v>
      </c>
      <c r="F29" s="51">
        <f t="shared" si="20"/>
        <v>0</v>
      </c>
      <c r="G29" s="51">
        <f t="shared" si="20"/>
        <v>0</v>
      </c>
      <c r="H29" s="51">
        <f t="shared" si="20"/>
        <v>0</v>
      </c>
      <c r="I29" s="121">
        <f t="shared" si="20"/>
        <v>0</v>
      </c>
      <c r="J29" s="243"/>
      <c r="K29" s="120">
        <f t="shared" si="16"/>
        <v>0</v>
      </c>
      <c r="L29" s="51">
        <f t="shared" si="16"/>
        <v>0</v>
      </c>
      <c r="M29" s="51">
        <f t="shared" si="16"/>
        <v>0</v>
      </c>
      <c r="N29" s="121">
        <f t="shared" si="16"/>
        <v>0</v>
      </c>
      <c r="P29" s="163"/>
      <c r="Q29" s="212" t="str">
        <f t="shared" si="17"/>
        <v>Office Furniture US</v>
      </c>
      <c r="R29" s="105">
        <f t="shared" si="18"/>
        <v>0</v>
      </c>
      <c r="S29" s="98">
        <f t="shared" si="19"/>
        <v>0</v>
      </c>
      <c r="T29" s="98">
        <f t="shared" si="11"/>
        <v>0</v>
      </c>
      <c r="U29" s="98">
        <f t="shared" si="12"/>
        <v>0</v>
      </c>
      <c r="V29" s="98">
        <f t="shared" si="13"/>
        <v>0</v>
      </c>
      <c r="W29" s="101">
        <f t="shared" si="14"/>
        <v>0</v>
      </c>
      <c r="X29" s="164"/>
      <c r="Y29" s="163"/>
      <c r="AF29" s="164"/>
    </row>
    <row r="30" spans="1:32" x14ac:dyDescent="0.3">
      <c r="A30" s="42" t="str">
        <f t="shared" si="8"/>
        <v>Lab Tools pt 2</v>
      </c>
      <c r="B30" s="120">
        <f t="shared" si="20"/>
        <v>0</v>
      </c>
      <c r="C30" s="51">
        <f t="shared" si="20"/>
        <v>0</v>
      </c>
      <c r="D30" s="51">
        <f t="shared" si="20"/>
        <v>0</v>
      </c>
      <c r="E30" s="51">
        <f t="shared" si="20"/>
        <v>0</v>
      </c>
      <c r="F30" s="51">
        <f t="shared" si="20"/>
        <v>0</v>
      </c>
      <c r="G30" s="51">
        <f t="shared" si="20"/>
        <v>0</v>
      </c>
      <c r="H30" s="51">
        <f t="shared" si="20"/>
        <v>0</v>
      </c>
      <c r="I30" s="121">
        <f t="shared" si="20"/>
        <v>0</v>
      </c>
      <c r="J30" s="243"/>
      <c r="K30" s="120">
        <f t="shared" si="16"/>
        <v>0</v>
      </c>
      <c r="L30" s="51">
        <f t="shared" si="16"/>
        <v>0</v>
      </c>
      <c r="M30" s="51">
        <f t="shared" si="16"/>
        <v>0</v>
      </c>
      <c r="N30" s="121">
        <f t="shared" si="16"/>
        <v>0</v>
      </c>
      <c r="P30" s="163"/>
      <c r="Q30" t="str">
        <f t="shared" si="17"/>
        <v>Storage Racks</v>
      </c>
      <c r="R30" s="105">
        <f t="shared" si="18"/>
        <v>0</v>
      </c>
      <c r="S30" s="98">
        <f t="shared" si="19"/>
        <v>0</v>
      </c>
      <c r="T30" s="98">
        <f t="shared" si="11"/>
        <v>0</v>
      </c>
      <c r="U30" s="98">
        <f t="shared" si="12"/>
        <v>0</v>
      </c>
      <c r="V30" s="98">
        <f t="shared" si="13"/>
        <v>0</v>
      </c>
      <c r="W30" s="101">
        <f t="shared" si="14"/>
        <v>0</v>
      </c>
      <c r="X30" s="164"/>
      <c r="Y30" s="163"/>
      <c r="Z30" s="27"/>
      <c r="AA30" s="27"/>
      <c r="AB30" s="27"/>
      <c r="AC30" s="27"/>
      <c r="AD30" s="27"/>
      <c r="AE30" s="27"/>
      <c r="AF30" s="164"/>
    </row>
    <row r="31" spans="1:32" x14ac:dyDescent="0.3">
      <c r="A31" s="42" t="str">
        <f t="shared" si="8"/>
        <v>Company Vehicle US</v>
      </c>
      <c r="B31" s="120">
        <f t="shared" si="20"/>
        <v>0</v>
      </c>
      <c r="C31" s="51">
        <f t="shared" si="20"/>
        <v>0</v>
      </c>
      <c r="D31" s="51">
        <f t="shared" si="20"/>
        <v>0</v>
      </c>
      <c r="E31" s="51">
        <f t="shared" si="20"/>
        <v>0</v>
      </c>
      <c r="F31" s="51">
        <f t="shared" si="20"/>
        <v>0</v>
      </c>
      <c r="G31" s="51">
        <f t="shared" si="20"/>
        <v>0</v>
      </c>
      <c r="H31" s="51">
        <f t="shared" si="20"/>
        <v>0</v>
      </c>
      <c r="I31" s="121">
        <f t="shared" si="20"/>
        <v>0</v>
      </c>
      <c r="J31" s="243"/>
      <c r="K31" s="120">
        <f t="shared" si="16"/>
        <v>0</v>
      </c>
      <c r="L31" s="51">
        <f t="shared" si="16"/>
        <v>0</v>
      </c>
      <c r="M31" s="51">
        <f t="shared" si="16"/>
        <v>0</v>
      </c>
      <c r="N31" s="121">
        <f t="shared" si="16"/>
        <v>0</v>
      </c>
      <c r="P31" s="163"/>
      <c r="Q31" t="str">
        <f t="shared" si="17"/>
        <v>Lab Tools pt 2</v>
      </c>
      <c r="R31" s="105">
        <f t="shared" si="18"/>
        <v>0</v>
      </c>
      <c r="S31" s="98">
        <f t="shared" si="19"/>
        <v>0</v>
      </c>
      <c r="T31" s="98">
        <f t="shared" si="11"/>
        <v>0</v>
      </c>
      <c r="U31" s="98">
        <f t="shared" si="12"/>
        <v>0</v>
      </c>
      <c r="V31" s="98">
        <f t="shared" si="13"/>
        <v>0</v>
      </c>
      <c r="W31" s="101">
        <f t="shared" si="14"/>
        <v>0</v>
      </c>
      <c r="X31" s="164"/>
      <c r="Y31" s="163"/>
      <c r="Z31" s="27"/>
      <c r="AA31" s="27"/>
      <c r="AB31" s="27"/>
      <c r="AC31" s="27"/>
      <c r="AD31" s="27"/>
      <c r="AE31" s="27"/>
      <c r="AF31" s="164"/>
    </row>
    <row r="32" spans="1:32" x14ac:dyDescent="0.3">
      <c r="A32" s="42" t="str">
        <f t="shared" si="8"/>
        <v>Item description</v>
      </c>
      <c r="B32" s="120">
        <f t="shared" si="20"/>
        <v>0</v>
      </c>
      <c r="C32" s="51">
        <f t="shared" si="20"/>
        <v>0</v>
      </c>
      <c r="D32" s="51">
        <f t="shared" si="20"/>
        <v>0</v>
      </c>
      <c r="E32" s="51">
        <f t="shared" si="20"/>
        <v>0</v>
      </c>
      <c r="F32" s="51">
        <f t="shared" si="20"/>
        <v>0</v>
      </c>
      <c r="G32" s="51">
        <f t="shared" si="20"/>
        <v>0</v>
      </c>
      <c r="H32" s="51">
        <f t="shared" si="20"/>
        <v>0</v>
      </c>
      <c r="I32" s="121">
        <f t="shared" si="20"/>
        <v>0</v>
      </c>
      <c r="J32" s="243"/>
      <c r="K32" s="120">
        <f t="shared" si="16"/>
        <v>0</v>
      </c>
      <c r="L32" s="51">
        <f t="shared" si="16"/>
        <v>0</v>
      </c>
      <c r="M32" s="51">
        <f t="shared" si="16"/>
        <v>0</v>
      </c>
      <c r="N32" s="121">
        <f t="shared" si="16"/>
        <v>0</v>
      </c>
      <c r="P32" s="163"/>
      <c r="Q32" t="str">
        <f t="shared" si="17"/>
        <v>Company Vehicle US</v>
      </c>
      <c r="R32" s="105">
        <f t="shared" si="18"/>
        <v>0</v>
      </c>
      <c r="S32" s="98">
        <f t="shared" si="19"/>
        <v>0</v>
      </c>
      <c r="T32" s="98">
        <f t="shared" si="11"/>
        <v>0</v>
      </c>
      <c r="U32" s="98">
        <f t="shared" si="12"/>
        <v>0</v>
      </c>
      <c r="V32" s="98">
        <f t="shared" si="13"/>
        <v>0</v>
      </c>
      <c r="W32" s="101">
        <f t="shared" si="14"/>
        <v>0</v>
      </c>
      <c r="X32" s="164"/>
      <c r="Y32" s="163"/>
      <c r="Z32" s="27"/>
      <c r="AA32" s="27"/>
      <c r="AB32" s="27"/>
      <c r="AC32" s="27"/>
      <c r="AD32" s="27"/>
      <c r="AE32" s="27"/>
      <c r="AF32" s="164"/>
    </row>
    <row r="33" spans="1:32" s="29" customFormat="1" ht="15" thickBot="1" x14ac:dyDescent="0.35">
      <c r="A33" s="43" t="str">
        <f t="shared" si="8"/>
        <v>Item description</v>
      </c>
      <c r="B33" s="122">
        <f t="shared" si="20"/>
        <v>0</v>
      </c>
      <c r="C33" s="52">
        <f t="shared" si="20"/>
        <v>0</v>
      </c>
      <c r="D33" s="52">
        <f t="shared" si="20"/>
        <v>0</v>
      </c>
      <c r="E33" s="52">
        <f t="shared" si="20"/>
        <v>0</v>
      </c>
      <c r="F33" s="52">
        <f t="shared" si="20"/>
        <v>0</v>
      </c>
      <c r="G33" s="52">
        <f t="shared" si="20"/>
        <v>0</v>
      </c>
      <c r="H33" s="52">
        <f t="shared" si="20"/>
        <v>0</v>
      </c>
      <c r="I33" s="123">
        <f t="shared" si="20"/>
        <v>0</v>
      </c>
      <c r="J33" s="243"/>
      <c r="K33" s="122">
        <f t="shared" si="16"/>
        <v>0</v>
      </c>
      <c r="L33" s="52">
        <f t="shared" si="16"/>
        <v>0</v>
      </c>
      <c r="M33" s="52">
        <f t="shared" si="16"/>
        <v>0</v>
      </c>
      <c r="N33" s="123">
        <f t="shared" si="16"/>
        <v>0</v>
      </c>
      <c r="P33" s="163"/>
      <c r="Q33" s="212" t="str">
        <f t="shared" si="17"/>
        <v>Item description</v>
      </c>
      <c r="R33" s="106">
        <f t="shared" si="18"/>
        <v>0</v>
      </c>
      <c r="S33" s="99">
        <f t="shared" si="19"/>
        <v>0</v>
      </c>
      <c r="T33" s="99">
        <f t="shared" si="11"/>
        <v>0</v>
      </c>
      <c r="U33" s="99">
        <f t="shared" si="12"/>
        <v>0</v>
      </c>
      <c r="V33" s="99">
        <f t="shared" si="13"/>
        <v>0</v>
      </c>
      <c r="W33" s="102">
        <f t="shared" si="14"/>
        <v>0</v>
      </c>
      <c r="X33" s="164"/>
      <c r="Y33" s="163"/>
      <c r="Z33" s="27"/>
      <c r="AA33" s="27"/>
      <c r="AB33" s="27"/>
      <c r="AC33" s="27"/>
      <c r="AD33" s="27"/>
      <c r="AE33" s="27"/>
      <c r="AF33" s="164"/>
    </row>
    <row r="34" spans="1:32" ht="15" thickTop="1" x14ac:dyDescent="0.3">
      <c r="A34" s="85" t="s">
        <v>13</v>
      </c>
      <c r="B34" s="181">
        <f>SUM(B23:B33)</f>
        <v>0</v>
      </c>
      <c r="C34" s="182">
        <f t="shared" ref="C34:N34" si="21">SUM(C23:C33)</f>
        <v>0</v>
      </c>
      <c r="D34" s="182">
        <f t="shared" si="21"/>
        <v>0</v>
      </c>
      <c r="E34" s="182">
        <f t="shared" si="21"/>
        <v>0</v>
      </c>
      <c r="F34" s="182">
        <f t="shared" si="21"/>
        <v>0</v>
      </c>
      <c r="G34" s="182">
        <f t="shared" si="21"/>
        <v>0</v>
      </c>
      <c r="H34" s="182">
        <f t="shared" si="21"/>
        <v>0</v>
      </c>
      <c r="I34" s="183">
        <f t="shared" si="21"/>
        <v>0</v>
      </c>
      <c r="J34" s="243"/>
      <c r="K34" s="181">
        <f t="shared" si="21"/>
        <v>0</v>
      </c>
      <c r="L34" s="182">
        <f t="shared" si="21"/>
        <v>0</v>
      </c>
      <c r="M34" s="182">
        <f t="shared" si="21"/>
        <v>0</v>
      </c>
      <c r="N34" s="183">
        <f t="shared" si="21"/>
        <v>0</v>
      </c>
      <c r="P34" s="163"/>
      <c r="R34" s="86">
        <f>SUM(R24:R33)</f>
        <v>0</v>
      </c>
      <c r="S34" s="86">
        <f t="shared" ref="S34:W34" si="22">SUM(S24:S33)</f>
        <v>0</v>
      </c>
      <c r="T34" s="86">
        <f t="shared" si="22"/>
        <v>0</v>
      </c>
      <c r="U34" s="86">
        <f t="shared" si="22"/>
        <v>0</v>
      </c>
      <c r="V34" s="86">
        <f t="shared" si="22"/>
        <v>0</v>
      </c>
      <c r="W34" s="118">
        <f t="shared" si="22"/>
        <v>0</v>
      </c>
      <c r="X34" s="164"/>
      <c r="Y34" s="163"/>
      <c r="Z34" s="27"/>
      <c r="AA34" s="27"/>
      <c r="AB34" s="27"/>
      <c r="AC34" s="27"/>
      <c r="AD34" s="27"/>
      <c r="AE34" s="27"/>
      <c r="AF34" s="164"/>
    </row>
    <row r="35" spans="1:32" ht="15" thickBot="1" x14ac:dyDescent="0.35">
      <c r="A35" s="84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P35" s="125"/>
      <c r="Q35" s="126"/>
      <c r="R35" s="126"/>
      <c r="S35" s="126"/>
      <c r="T35" s="126"/>
      <c r="U35" s="126"/>
      <c r="V35" s="126"/>
      <c r="W35" s="126"/>
      <c r="X35" s="127"/>
      <c r="Y35" s="125"/>
      <c r="Z35" s="126"/>
      <c r="AA35" s="126"/>
      <c r="AB35" s="126"/>
      <c r="AC35" s="126"/>
      <c r="AD35" s="126"/>
      <c r="AE35" s="126"/>
      <c r="AF35" s="127"/>
    </row>
    <row r="36" spans="1:32" ht="15" thickTop="1" x14ac:dyDescent="0.3">
      <c r="P36" s="221"/>
      <c r="Q36" s="222"/>
      <c r="R36" s="222"/>
      <c r="S36" s="222"/>
      <c r="T36" s="222"/>
      <c r="U36" s="222"/>
      <c r="V36" s="222"/>
      <c r="W36" s="222"/>
      <c r="X36" s="216"/>
      <c r="Y36" s="221"/>
      <c r="Z36" s="222"/>
      <c r="AA36" s="222"/>
      <c r="AB36" s="222"/>
      <c r="AC36" s="222"/>
      <c r="AD36" s="222"/>
      <c r="AE36" s="222"/>
      <c r="AF36" s="216"/>
    </row>
    <row r="37" spans="1:32" ht="19.8" x14ac:dyDescent="0.4">
      <c r="A37" s="41" t="s">
        <v>240</v>
      </c>
      <c r="P37" s="163"/>
      <c r="Q37" s="230" t="str">
        <f>A37</f>
        <v>Capital Expenditure - Impact on Cash Flow</v>
      </c>
      <c r="X37" s="164"/>
      <c r="Y37" s="163"/>
      <c r="Z37" s="218"/>
      <c r="AA37" s="27"/>
      <c r="AB37" s="27"/>
      <c r="AC37" s="27"/>
      <c r="AD37" s="27"/>
      <c r="AE37" s="27"/>
      <c r="AF37" s="164"/>
    </row>
    <row r="38" spans="1:32" ht="17.399999999999999" x14ac:dyDescent="0.35">
      <c r="A38" s="36"/>
      <c r="B38" s="343" t="s">
        <v>241</v>
      </c>
      <c r="C38" s="344"/>
      <c r="D38" s="344"/>
      <c r="E38" s="344"/>
      <c r="F38" s="344"/>
      <c r="G38" s="344"/>
      <c r="H38" s="344"/>
      <c r="I38" s="345"/>
      <c r="J38" s="243"/>
      <c r="K38" s="351" t="s">
        <v>242</v>
      </c>
      <c r="L38" s="352"/>
      <c r="M38" s="352"/>
      <c r="N38" s="353"/>
      <c r="P38" s="163"/>
      <c r="Q38" s="218" t="s">
        <v>211</v>
      </c>
      <c r="X38" s="164"/>
      <c r="Y38" s="163"/>
      <c r="AF38" s="164"/>
    </row>
    <row r="39" spans="1:32" x14ac:dyDescent="0.3">
      <c r="A39" s="36"/>
      <c r="B39" s="346" t="s">
        <v>205</v>
      </c>
      <c r="C39" s="347"/>
      <c r="D39" s="347"/>
      <c r="E39" s="348"/>
      <c r="F39" s="349" t="s">
        <v>206</v>
      </c>
      <c r="G39" s="347"/>
      <c r="H39" s="347"/>
      <c r="I39" s="350"/>
      <c r="J39" s="243"/>
      <c r="K39" s="108" t="s">
        <v>145</v>
      </c>
      <c r="L39" s="109" t="s">
        <v>146</v>
      </c>
      <c r="M39" s="109" t="s">
        <v>147</v>
      </c>
      <c r="N39" s="110" t="s">
        <v>243</v>
      </c>
      <c r="P39" s="163"/>
      <c r="R39" s="351" t="s">
        <v>212</v>
      </c>
      <c r="S39" s="352"/>
      <c r="T39" s="352"/>
      <c r="U39" s="352"/>
      <c r="V39" s="352"/>
      <c r="W39" s="353"/>
      <c r="X39" s="164"/>
      <c r="Y39" s="163"/>
      <c r="AF39" s="164"/>
    </row>
    <row r="40" spans="1:32" x14ac:dyDescent="0.3">
      <c r="A40" s="59"/>
      <c r="B40" s="104">
        <f>StartDate</f>
        <v>43921</v>
      </c>
      <c r="C40" s="60">
        <f>EDATE(B40,3)</f>
        <v>44012</v>
      </c>
      <c r="D40" s="60">
        <f t="shared" ref="D40" si="23">EDATE(C40,3)</f>
        <v>44104</v>
      </c>
      <c r="E40" s="60">
        <f t="shared" ref="E40" si="24">EDATE(D40,3)</f>
        <v>44195</v>
      </c>
      <c r="F40" s="60">
        <f t="shared" ref="F40" si="25">EDATE(E40,3)</f>
        <v>44285</v>
      </c>
      <c r="G40" s="60">
        <f t="shared" ref="G40" si="26">EDATE(F40,3)</f>
        <v>44377</v>
      </c>
      <c r="H40" s="60">
        <f t="shared" ref="H40" si="27">EDATE(G40,3)</f>
        <v>44469</v>
      </c>
      <c r="I40" s="100">
        <f t="shared" ref="I40" si="28">EDATE(H40,3)</f>
        <v>44560</v>
      </c>
      <c r="J40" s="243"/>
      <c r="K40" s="104">
        <f>EDATE(I40,3)</f>
        <v>44650</v>
      </c>
      <c r="L40" s="60">
        <f t="shared" ref="L40" si="29">EDATE(K40,12)</f>
        <v>45015</v>
      </c>
      <c r="M40" s="60">
        <f t="shared" ref="M40:N40" si="30">EDATE(L40,12)</f>
        <v>45381</v>
      </c>
      <c r="N40" s="107">
        <f t="shared" si="30"/>
        <v>45746</v>
      </c>
      <c r="P40" s="163"/>
      <c r="R40" s="108" t="s">
        <v>205</v>
      </c>
      <c r="S40" s="109" t="s">
        <v>206</v>
      </c>
      <c r="T40" s="109" t="s">
        <v>145</v>
      </c>
      <c r="U40" s="109" t="s">
        <v>146</v>
      </c>
      <c r="V40" s="109" t="s">
        <v>147</v>
      </c>
      <c r="W40" s="110" t="s">
        <v>243</v>
      </c>
      <c r="X40" s="164"/>
      <c r="Y40" s="163"/>
      <c r="AF40" s="164"/>
    </row>
    <row r="41" spans="1:32" x14ac:dyDescent="0.3">
      <c r="A41" s="42" t="str">
        <f t="shared" ref="A41:A51" si="31">A6</f>
        <v>Lab Tools</v>
      </c>
      <c r="B41" s="155">
        <f t="shared" ref="B41:M41" si="32">IF(B$40=$C6,$B6,IF(B$40=EDATE($C6,12*$D6),$E6*-1,IF($C6&gt;B$40,IF($C6&lt;C$40,$B6,0),IF(EDATE($C6,12*$D6)&gt;C$40,0,IF(EDATE($C6,12*$D6)&gt;B$40,IF(EDATE($C6,12*$D6)&lt;C$40,$E6*-1,0),0)))))</f>
        <v>0</v>
      </c>
      <c r="C41" s="87">
        <f t="shared" si="32"/>
        <v>0</v>
      </c>
      <c r="D41" s="87">
        <f t="shared" si="32"/>
        <v>0</v>
      </c>
      <c r="E41" s="87">
        <f t="shared" si="32"/>
        <v>0</v>
      </c>
      <c r="F41" s="87">
        <f t="shared" si="32"/>
        <v>0</v>
      </c>
      <c r="G41" s="87">
        <f t="shared" si="32"/>
        <v>0</v>
      </c>
      <c r="H41" s="87">
        <f t="shared" si="32"/>
        <v>0</v>
      </c>
      <c r="I41" s="156">
        <f t="shared" ref="I41:I51" si="33">IF(I$40=$C6,$B6,IF(I$40=EDATE($C6,12*$D6),$E6*-1,IF($C6&gt;I$40,IF($C6&lt;K$40,$B6,0),IF(EDATE($C6,12*$D6)&gt;K$40,0,IF(EDATE($C6,12*$D6)&gt;I$40,IF(EDATE($C6,12*$D6)&lt;K$40,$E6*-1,0),0)))))</f>
        <v>0</v>
      </c>
      <c r="J41" s="243"/>
      <c r="K41" s="155">
        <f t="shared" si="32"/>
        <v>0</v>
      </c>
      <c r="L41" s="87">
        <f t="shared" si="32"/>
        <v>0</v>
      </c>
      <c r="M41" s="87">
        <f t="shared" si="32"/>
        <v>0</v>
      </c>
      <c r="N41" s="156">
        <f t="shared" ref="N41:N48" si="34">IF(N$40=$C6,$B6,IF(N$40=EDATE($C6,12*$D6),$E6*-1,IF($C6&gt;N$40,IF($C6&lt;EDATE(N$40,12),$B6,0),IF(EDATE($C6,12*$D6)&gt;EDATE(N$40,12),0,IF(EDATE($C6,12*$D6)&gt;N$40,IF(EDATE($C6,12*$D6)&lt;EDATE(N$40,12),$E6*-1,0),0)))))</f>
        <v>0</v>
      </c>
      <c r="P41" s="163"/>
      <c r="R41" s="104">
        <f>B40</f>
        <v>43921</v>
      </c>
      <c r="S41" s="60">
        <f>F40</f>
        <v>44285</v>
      </c>
      <c r="T41" s="60">
        <f t="shared" ref="T41:T51" si="35">K40</f>
        <v>44650</v>
      </c>
      <c r="U41" s="60">
        <f t="shared" ref="U41:U51" si="36">L40</f>
        <v>45015</v>
      </c>
      <c r="V41" s="60">
        <f t="shared" ref="V41:V51" si="37">M40</f>
        <v>45381</v>
      </c>
      <c r="W41" s="107">
        <f t="shared" ref="W41:W51" si="38">N40</f>
        <v>45746</v>
      </c>
      <c r="X41" s="164"/>
      <c r="Y41" s="163"/>
      <c r="AF41" s="164"/>
    </row>
    <row r="42" spans="1:32" x14ac:dyDescent="0.3">
      <c r="A42" s="42" t="str">
        <f t="shared" si="31"/>
        <v>Product Testing Unit</v>
      </c>
      <c r="B42" s="155">
        <f t="shared" ref="B42:M42" si="39">IF(B$40=$C7,$B7,IF(B$40=EDATE($C7,12*$D7),$E7*-1,IF($C7&gt;B$40,IF($C7&lt;C$40,$B7,0),IF(EDATE($C7,12*$D7)&gt;C$40,0,IF(EDATE($C7,12*$D7)&gt;B$40,IF(EDATE($C7,12*$D7)&lt;C$40,$E7*-1,0),0)))))</f>
        <v>0</v>
      </c>
      <c r="C42" s="87">
        <f t="shared" si="39"/>
        <v>0</v>
      </c>
      <c r="D42" s="87">
        <f t="shared" si="39"/>
        <v>0</v>
      </c>
      <c r="E42" s="87">
        <f t="shared" si="39"/>
        <v>0</v>
      </c>
      <c r="F42" s="87">
        <f t="shared" si="39"/>
        <v>0</v>
      </c>
      <c r="G42" s="87">
        <f t="shared" si="39"/>
        <v>0</v>
      </c>
      <c r="H42" s="87">
        <f t="shared" si="39"/>
        <v>0</v>
      </c>
      <c r="I42" s="156">
        <f t="shared" si="33"/>
        <v>0</v>
      </c>
      <c r="J42" s="243"/>
      <c r="K42" s="155">
        <f t="shared" si="39"/>
        <v>0</v>
      </c>
      <c r="L42" s="87">
        <f t="shared" si="39"/>
        <v>0</v>
      </c>
      <c r="M42" s="87">
        <f t="shared" si="39"/>
        <v>0</v>
      </c>
      <c r="N42" s="156">
        <f t="shared" si="34"/>
        <v>0</v>
      </c>
      <c r="P42" s="163"/>
      <c r="Q42" s="212" t="str">
        <f t="shared" ref="Q42:Q51" si="40">A41</f>
        <v>Lab Tools</v>
      </c>
      <c r="R42" s="105">
        <f t="shared" ref="R42:R51" si="41">SUM(B41:E41)</f>
        <v>0</v>
      </c>
      <c r="S42" s="98">
        <f t="shared" ref="S42:S51" si="42">SUM(F41:I41)</f>
        <v>0</v>
      </c>
      <c r="T42" s="98">
        <f t="shared" si="35"/>
        <v>0</v>
      </c>
      <c r="U42" s="98">
        <f t="shared" si="36"/>
        <v>0</v>
      </c>
      <c r="V42" s="98">
        <f t="shared" si="37"/>
        <v>0</v>
      </c>
      <c r="W42" s="101">
        <f t="shared" si="38"/>
        <v>0</v>
      </c>
      <c r="X42" s="164"/>
      <c r="Y42" s="163"/>
      <c r="AF42" s="164"/>
    </row>
    <row r="43" spans="1:32" x14ac:dyDescent="0.3">
      <c r="A43" s="42" t="str">
        <f t="shared" si="31"/>
        <v>Office Furniture</v>
      </c>
      <c r="B43" s="155">
        <f t="shared" ref="B43:M43" si="43">IF(B$40=$C8,$B8,IF(B$40=EDATE($C8,12*$D8),$E8*-1,IF($C8&gt;B$40,IF($C8&lt;C$40,$B8,0),IF(EDATE($C8,12*$D8)&gt;C$40,0,IF(EDATE($C8,12*$D8)&gt;B$40,IF(EDATE($C8,12*$D8)&lt;C$40,$E8*-1,0),0)))))</f>
        <v>0</v>
      </c>
      <c r="C43" s="87">
        <f t="shared" si="43"/>
        <v>0</v>
      </c>
      <c r="D43" s="87">
        <f t="shared" si="43"/>
        <v>0</v>
      </c>
      <c r="E43" s="87">
        <f t="shared" si="43"/>
        <v>0</v>
      </c>
      <c r="F43" s="87">
        <f t="shared" si="43"/>
        <v>0</v>
      </c>
      <c r="G43" s="87">
        <f t="shared" si="43"/>
        <v>0</v>
      </c>
      <c r="H43" s="87">
        <f t="shared" si="43"/>
        <v>0</v>
      </c>
      <c r="I43" s="156">
        <f t="shared" si="33"/>
        <v>0</v>
      </c>
      <c r="J43" s="243"/>
      <c r="K43" s="155">
        <f t="shared" si="43"/>
        <v>0</v>
      </c>
      <c r="L43" s="87">
        <f t="shared" si="43"/>
        <v>0</v>
      </c>
      <c r="M43" s="87">
        <f t="shared" si="43"/>
        <v>0</v>
      </c>
      <c r="N43" s="156">
        <f t="shared" si="34"/>
        <v>0</v>
      </c>
      <c r="P43" s="163"/>
      <c r="Q43" s="212" t="str">
        <f t="shared" si="40"/>
        <v>Product Testing Unit</v>
      </c>
      <c r="R43" s="105">
        <f t="shared" si="41"/>
        <v>0</v>
      </c>
      <c r="S43" s="98">
        <f t="shared" si="42"/>
        <v>0</v>
      </c>
      <c r="T43" s="98">
        <f t="shared" si="35"/>
        <v>0</v>
      </c>
      <c r="U43" s="98">
        <f t="shared" si="36"/>
        <v>0</v>
      </c>
      <c r="V43" s="98">
        <f t="shared" si="37"/>
        <v>0</v>
      </c>
      <c r="W43" s="101">
        <f t="shared" si="38"/>
        <v>0</v>
      </c>
      <c r="X43" s="164"/>
      <c r="Y43" s="163"/>
      <c r="AF43" s="164"/>
    </row>
    <row r="44" spans="1:32" x14ac:dyDescent="0.3">
      <c r="A44" s="42" t="str">
        <f t="shared" si="31"/>
        <v>Company Vehicle</v>
      </c>
      <c r="B44" s="155">
        <f t="shared" ref="B44:M44" si="44">IF(B$40=$C9,$B9,IF(B$40=EDATE($C9,12*$D9),$E9*-1,IF($C9&gt;B$40,IF($C9&lt;C$40,$B9,0),IF(EDATE($C9,12*$D9)&gt;C$40,0,IF(EDATE($C9,12*$D9)&gt;B$40,IF(EDATE($C9,12*$D9)&lt;C$40,$E9*-1,0),0)))))</f>
        <v>0</v>
      </c>
      <c r="C44" s="87">
        <f t="shared" si="44"/>
        <v>0</v>
      </c>
      <c r="D44" s="87">
        <f t="shared" si="44"/>
        <v>0</v>
      </c>
      <c r="E44" s="87">
        <f t="shared" si="44"/>
        <v>0</v>
      </c>
      <c r="F44" s="87">
        <f t="shared" si="44"/>
        <v>0</v>
      </c>
      <c r="G44" s="87">
        <f t="shared" si="44"/>
        <v>0</v>
      </c>
      <c r="H44" s="87">
        <f t="shared" si="44"/>
        <v>0</v>
      </c>
      <c r="I44" s="156">
        <f t="shared" si="33"/>
        <v>0</v>
      </c>
      <c r="J44" s="243"/>
      <c r="K44" s="155">
        <f t="shared" si="44"/>
        <v>0</v>
      </c>
      <c r="L44" s="87">
        <f t="shared" si="44"/>
        <v>0</v>
      </c>
      <c r="M44" s="87">
        <f t="shared" si="44"/>
        <v>0</v>
      </c>
      <c r="N44" s="156">
        <f t="shared" si="34"/>
        <v>0</v>
      </c>
      <c r="P44" s="163"/>
      <c r="Q44" s="212" t="str">
        <f t="shared" si="40"/>
        <v>Office Furniture</v>
      </c>
      <c r="R44" s="105">
        <f t="shared" si="41"/>
        <v>0</v>
      </c>
      <c r="S44" s="98">
        <f t="shared" si="42"/>
        <v>0</v>
      </c>
      <c r="T44" s="98">
        <f t="shared" si="35"/>
        <v>0</v>
      </c>
      <c r="U44" s="98">
        <f t="shared" si="36"/>
        <v>0</v>
      </c>
      <c r="V44" s="98">
        <f t="shared" si="37"/>
        <v>0</v>
      </c>
      <c r="W44" s="101">
        <f t="shared" si="38"/>
        <v>0</v>
      </c>
      <c r="X44" s="164"/>
      <c r="Y44" s="163"/>
      <c r="AF44" s="164"/>
    </row>
    <row r="45" spans="1:32" x14ac:dyDescent="0.3">
      <c r="A45" s="42" t="str">
        <f t="shared" si="31"/>
        <v>High Cap Testing Unit</v>
      </c>
      <c r="B45" s="155">
        <f t="shared" ref="B45:M45" si="45">IF(B$40=$C10,$B10,IF(B$40=EDATE($C10,12*$D10),$E10*-1,IF($C10&gt;B$40,IF($C10&lt;C$40,$B10,0),IF(EDATE($C10,12*$D10)&gt;C$40,0,IF(EDATE($C10,12*$D10)&gt;B$40,IF(EDATE($C10,12*$D10)&lt;C$40,$E10*-1,0),0)))))</f>
        <v>0</v>
      </c>
      <c r="C45" s="87">
        <f t="shared" si="45"/>
        <v>0</v>
      </c>
      <c r="D45" s="87">
        <f t="shared" si="45"/>
        <v>0</v>
      </c>
      <c r="E45" s="87">
        <f t="shared" si="45"/>
        <v>0</v>
      </c>
      <c r="F45" s="87">
        <f t="shared" si="45"/>
        <v>0</v>
      </c>
      <c r="G45" s="87">
        <f t="shared" si="45"/>
        <v>0</v>
      </c>
      <c r="H45" s="87">
        <f t="shared" si="45"/>
        <v>0</v>
      </c>
      <c r="I45" s="156">
        <f t="shared" si="33"/>
        <v>0</v>
      </c>
      <c r="J45" s="243"/>
      <c r="K45" s="155">
        <f t="shared" si="45"/>
        <v>0</v>
      </c>
      <c r="L45" s="87">
        <f t="shared" si="45"/>
        <v>0</v>
      </c>
      <c r="M45" s="87">
        <f t="shared" si="45"/>
        <v>0</v>
      </c>
      <c r="N45" s="156">
        <f t="shared" si="34"/>
        <v>0</v>
      </c>
      <c r="P45" s="163"/>
      <c r="Q45" s="212" t="str">
        <f t="shared" si="40"/>
        <v>Company Vehicle</v>
      </c>
      <c r="R45" s="105">
        <f t="shared" si="41"/>
        <v>0</v>
      </c>
      <c r="S45" s="98">
        <f t="shared" si="42"/>
        <v>0</v>
      </c>
      <c r="T45" s="98">
        <f t="shared" si="35"/>
        <v>0</v>
      </c>
      <c r="U45" s="98">
        <f t="shared" si="36"/>
        <v>0</v>
      </c>
      <c r="V45" s="98">
        <f t="shared" si="37"/>
        <v>0</v>
      </c>
      <c r="W45" s="101">
        <f t="shared" si="38"/>
        <v>0</v>
      </c>
      <c r="X45" s="164"/>
      <c r="Y45" s="163"/>
      <c r="AF45" s="164"/>
    </row>
    <row r="46" spans="1:32" x14ac:dyDescent="0.3">
      <c r="A46" s="42" t="str">
        <f t="shared" si="31"/>
        <v>Office Furniture US</v>
      </c>
      <c r="B46" s="155">
        <f t="shared" ref="B46:M46" si="46">IF(B$40=$C11,$B11,IF(B$40=EDATE($C11,12*$D11),$E11*-1,IF($C11&gt;B$40,IF($C11&lt;C$40,$B11,0),IF(EDATE($C11,12*$D11)&gt;C$40,0,IF(EDATE($C11,12*$D11)&gt;B$40,IF(EDATE($C11,12*$D11)&lt;C$40,$E11*-1,0),0)))))</f>
        <v>0</v>
      </c>
      <c r="C46" s="87">
        <f t="shared" si="46"/>
        <v>0</v>
      </c>
      <c r="D46" s="87">
        <f t="shared" si="46"/>
        <v>0</v>
      </c>
      <c r="E46" s="87">
        <f t="shared" si="46"/>
        <v>0</v>
      </c>
      <c r="F46" s="87">
        <f t="shared" si="46"/>
        <v>0</v>
      </c>
      <c r="G46" s="87">
        <f t="shared" si="46"/>
        <v>0</v>
      </c>
      <c r="H46" s="87">
        <f t="shared" si="46"/>
        <v>0</v>
      </c>
      <c r="I46" s="156">
        <f t="shared" si="33"/>
        <v>0</v>
      </c>
      <c r="J46" s="243"/>
      <c r="K46" s="155">
        <f t="shared" si="46"/>
        <v>0</v>
      </c>
      <c r="L46" s="87">
        <f t="shared" si="46"/>
        <v>0</v>
      </c>
      <c r="M46" s="87">
        <f t="shared" si="46"/>
        <v>0</v>
      </c>
      <c r="N46" s="156">
        <f t="shared" si="34"/>
        <v>0</v>
      </c>
      <c r="P46" s="163"/>
      <c r="Q46" s="212" t="str">
        <f t="shared" si="40"/>
        <v>High Cap Testing Unit</v>
      </c>
      <c r="R46" s="105">
        <f t="shared" si="41"/>
        <v>0</v>
      </c>
      <c r="S46" s="98">
        <f t="shared" si="42"/>
        <v>0</v>
      </c>
      <c r="T46" s="98">
        <f t="shared" si="35"/>
        <v>0</v>
      </c>
      <c r="U46" s="98">
        <f t="shared" si="36"/>
        <v>0</v>
      </c>
      <c r="V46" s="98">
        <f t="shared" si="37"/>
        <v>0</v>
      </c>
      <c r="W46" s="101">
        <f t="shared" si="38"/>
        <v>0</v>
      </c>
      <c r="X46" s="164"/>
      <c r="Y46" s="163"/>
      <c r="AF46" s="164"/>
    </row>
    <row r="47" spans="1:32" x14ac:dyDescent="0.3">
      <c r="A47" s="42" t="str">
        <f t="shared" si="31"/>
        <v>Storage Racks</v>
      </c>
      <c r="B47" s="155">
        <f t="shared" ref="B47:M47" si="47">IF(B$40=$C12,$B12,IF(B$40=EDATE($C12,12*$D12),$E12*-1,IF($C12&gt;B$40,IF($C12&lt;C$40,$B12,0),IF(EDATE($C12,12*$D12)&gt;C$40,0,IF(EDATE($C12,12*$D12)&gt;B$40,IF(EDATE($C12,12*$D12)&lt;C$40,$E12*-1,0),0)))))</f>
        <v>0</v>
      </c>
      <c r="C47" s="87">
        <f t="shared" si="47"/>
        <v>0</v>
      </c>
      <c r="D47" s="87">
        <f t="shared" si="47"/>
        <v>0</v>
      </c>
      <c r="E47" s="87">
        <f t="shared" si="47"/>
        <v>0</v>
      </c>
      <c r="F47" s="87">
        <f t="shared" si="47"/>
        <v>0</v>
      </c>
      <c r="G47" s="87">
        <f t="shared" si="47"/>
        <v>0</v>
      </c>
      <c r="H47" s="87">
        <f t="shared" si="47"/>
        <v>0</v>
      </c>
      <c r="I47" s="156">
        <f t="shared" si="33"/>
        <v>0</v>
      </c>
      <c r="J47" s="243"/>
      <c r="K47" s="155">
        <f t="shared" si="47"/>
        <v>0</v>
      </c>
      <c r="L47" s="87">
        <f t="shared" si="47"/>
        <v>0</v>
      </c>
      <c r="M47" s="87">
        <f t="shared" si="47"/>
        <v>0</v>
      </c>
      <c r="N47" s="156">
        <f t="shared" si="34"/>
        <v>0</v>
      </c>
      <c r="P47" s="163"/>
      <c r="Q47" s="212" t="str">
        <f t="shared" si="40"/>
        <v>Office Furniture US</v>
      </c>
      <c r="R47" s="105">
        <f t="shared" si="41"/>
        <v>0</v>
      </c>
      <c r="S47" s="98">
        <f t="shared" si="42"/>
        <v>0</v>
      </c>
      <c r="T47" s="98">
        <f t="shared" si="35"/>
        <v>0</v>
      </c>
      <c r="U47" s="98">
        <f t="shared" si="36"/>
        <v>0</v>
      </c>
      <c r="V47" s="98">
        <f t="shared" si="37"/>
        <v>0</v>
      </c>
      <c r="W47" s="101">
        <f t="shared" si="38"/>
        <v>0</v>
      </c>
      <c r="X47" s="164"/>
      <c r="Y47" s="163"/>
      <c r="AF47" s="164"/>
    </row>
    <row r="48" spans="1:32" x14ac:dyDescent="0.3">
      <c r="A48" s="42" t="str">
        <f t="shared" si="31"/>
        <v>Lab Tools pt 2</v>
      </c>
      <c r="B48" s="155">
        <f t="shared" ref="B48:M48" si="48">IF(B$40=$C13,$B13,IF(B$40=EDATE($C13,12*$D13),$E13*-1,IF($C13&gt;B$40,IF($C13&lt;C$40,$B13,0),IF(EDATE($C13,12*$D13)&gt;C$40,0,IF(EDATE($C13,12*$D13)&gt;B$40,IF(EDATE($C13,12*$D13)&lt;C$40,$E13*-1,0),0)))))</f>
        <v>0</v>
      </c>
      <c r="C48" s="87">
        <f t="shared" si="48"/>
        <v>0</v>
      </c>
      <c r="D48" s="87">
        <f t="shared" si="48"/>
        <v>0</v>
      </c>
      <c r="E48" s="87">
        <f t="shared" si="48"/>
        <v>0</v>
      </c>
      <c r="F48" s="87">
        <f t="shared" si="48"/>
        <v>0</v>
      </c>
      <c r="G48" s="87">
        <f t="shared" si="48"/>
        <v>0</v>
      </c>
      <c r="H48" s="87">
        <f t="shared" si="48"/>
        <v>0</v>
      </c>
      <c r="I48" s="156">
        <f t="shared" si="33"/>
        <v>0</v>
      </c>
      <c r="J48" s="243"/>
      <c r="K48" s="155">
        <f t="shared" si="48"/>
        <v>0</v>
      </c>
      <c r="L48" s="87">
        <f t="shared" si="48"/>
        <v>0</v>
      </c>
      <c r="M48" s="87">
        <f t="shared" si="48"/>
        <v>0</v>
      </c>
      <c r="N48" s="156">
        <f t="shared" si="34"/>
        <v>0</v>
      </c>
      <c r="P48" s="163"/>
      <c r="Q48" t="str">
        <f t="shared" si="40"/>
        <v>Storage Racks</v>
      </c>
      <c r="R48" s="105">
        <f t="shared" si="41"/>
        <v>0</v>
      </c>
      <c r="S48" s="98">
        <f t="shared" si="42"/>
        <v>0</v>
      </c>
      <c r="T48" s="98">
        <f t="shared" si="35"/>
        <v>0</v>
      </c>
      <c r="U48" s="98">
        <f t="shared" si="36"/>
        <v>0</v>
      </c>
      <c r="V48" s="98">
        <f t="shared" si="37"/>
        <v>0</v>
      </c>
      <c r="W48" s="101">
        <f t="shared" si="38"/>
        <v>0</v>
      </c>
      <c r="X48" s="164"/>
      <c r="Y48" s="163"/>
      <c r="AF48" s="164"/>
    </row>
    <row r="49" spans="1:32" x14ac:dyDescent="0.3">
      <c r="A49" s="42" t="str">
        <f t="shared" si="31"/>
        <v>Company Vehicle US</v>
      </c>
      <c r="B49" s="155">
        <f t="shared" ref="B49:L49" si="49">IF(B$40=$C14,$B14,IF(B$40=EDATE($C14,12*$D14),$E14*-1,IF($C14&gt;B$40,IF($C14&lt;C$40,$B14,0),IF(EDATE($C14,12*$D14)&gt;C$40,0,IF(EDATE($C14,12*$D14)&gt;B$40,IF(EDATE($C14,12*$D14)&lt;C$40,$E14*-1,0),0)))))</f>
        <v>0</v>
      </c>
      <c r="C49" s="87">
        <f t="shared" si="49"/>
        <v>0</v>
      </c>
      <c r="D49" s="87">
        <f t="shared" si="49"/>
        <v>0</v>
      </c>
      <c r="E49" s="87">
        <f t="shared" si="49"/>
        <v>0</v>
      </c>
      <c r="F49" s="87">
        <f t="shared" si="49"/>
        <v>0</v>
      </c>
      <c r="G49" s="87">
        <f t="shared" si="49"/>
        <v>0</v>
      </c>
      <c r="H49" s="87">
        <f t="shared" si="49"/>
        <v>0</v>
      </c>
      <c r="I49" s="156">
        <f t="shared" si="33"/>
        <v>0</v>
      </c>
      <c r="J49" s="243"/>
      <c r="K49" s="155">
        <f t="shared" si="49"/>
        <v>0</v>
      </c>
      <c r="L49" s="87">
        <f t="shared" si="49"/>
        <v>0</v>
      </c>
      <c r="M49" s="87">
        <f>IF(M$40=$C14,$B14,IF(M$40=EDATE($C14,12*$D14),$E14*-1,IF($C14&gt;M$40,IF($C14&lt;N$40,$B14,0),IF(EDATE($C14,12*$D14)&gt;N$40,0,IF(EDATE($C14,12*$D14)&gt;M$40,IF(EDATE($C14,12*$D14)&lt;N$40,$E14*-1,0),0)))))</f>
        <v>0</v>
      </c>
      <c r="N49" s="156">
        <f>IF(N$40=$C14,$B14,IF(N$40=EDATE($C14,12*$D14),$E14*-1,IF($C14&gt;N$40,IF($C14&lt;EDATE(N$40,12),$B14,0),IF(EDATE($C14,12*$D14)&gt;EDATE(N$40,12),0,IF(EDATE($C14,12*$D14)&gt;N$40,IF(EDATE($C14,12*$D14)&lt;EDATE(N$40,12),$E14*-1,0),0)))))</f>
        <v>0</v>
      </c>
      <c r="P49" s="163"/>
      <c r="Q49" t="str">
        <f t="shared" si="40"/>
        <v>Lab Tools pt 2</v>
      </c>
      <c r="R49" s="105">
        <f t="shared" si="41"/>
        <v>0</v>
      </c>
      <c r="S49" s="98">
        <f t="shared" si="42"/>
        <v>0</v>
      </c>
      <c r="T49" s="98">
        <f t="shared" si="35"/>
        <v>0</v>
      </c>
      <c r="U49" s="98">
        <f t="shared" si="36"/>
        <v>0</v>
      </c>
      <c r="V49" s="98">
        <f t="shared" si="37"/>
        <v>0</v>
      </c>
      <c r="W49" s="101">
        <f t="shared" si="38"/>
        <v>0</v>
      </c>
      <c r="X49" s="164"/>
      <c r="Y49" s="163"/>
      <c r="Z49" s="27"/>
      <c r="AA49" s="27"/>
      <c r="AB49" s="27"/>
      <c r="AC49" s="27"/>
      <c r="AD49" s="27"/>
      <c r="AE49" s="27"/>
      <c r="AF49" s="164"/>
    </row>
    <row r="50" spans="1:32" x14ac:dyDescent="0.3">
      <c r="A50" s="42" t="str">
        <f t="shared" si="31"/>
        <v>Item description</v>
      </c>
      <c r="B50" s="155">
        <f t="shared" ref="B50:M50" si="50">IF(B$40=$C15,$B15,IF(B$40=EDATE($C15,12*$D15),$E15*-1,IF($C15&gt;B$40,IF($C15&lt;C$40,$B15,0),IF(EDATE($C15,12*$D15)&gt;C$40,0,IF(EDATE($C15,12*$D15)&gt;B$40,IF(EDATE($C15,12*$D15)&lt;C$40,$E15*-1,0),0)))))</f>
        <v>0</v>
      </c>
      <c r="C50" s="87">
        <f t="shared" si="50"/>
        <v>0</v>
      </c>
      <c r="D50" s="87">
        <f t="shared" si="50"/>
        <v>0</v>
      </c>
      <c r="E50" s="87">
        <f t="shared" si="50"/>
        <v>0</v>
      </c>
      <c r="F50" s="87">
        <f t="shared" si="50"/>
        <v>0</v>
      </c>
      <c r="G50" s="87">
        <f t="shared" si="50"/>
        <v>0</v>
      </c>
      <c r="H50" s="87">
        <f t="shared" si="50"/>
        <v>0</v>
      </c>
      <c r="I50" s="156">
        <f t="shared" si="33"/>
        <v>0</v>
      </c>
      <c r="J50" s="243"/>
      <c r="K50" s="155">
        <f t="shared" si="50"/>
        <v>0</v>
      </c>
      <c r="L50" s="87">
        <f t="shared" si="50"/>
        <v>0</v>
      </c>
      <c r="M50" s="87">
        <f t="shared" si="50"/>
        <v>0</v>
      </c>
      <c r="N50" s="156">
        <f t="shared" ref="N50:N51" si="51">IF(N$40=$C15,$B15,IF(N$40=EDATE($C15,12*$D15),$E15*-1,IF($C15&gt;N$40,IF($C15&lt;EDATE(N$40,12),$B15,0),IF(EDATE($C15,12*$D15)&gt;EDATE(N$40,12),0,IF(EDATE($C15,12*$D15)&gt;N$40,IF(EDATE($C15,12*$D15)&lt;EDATE(N$40,12),$E15*-1,0),0)))))</f>
        <v>0</v>
      </c>
      <c r="P50" s="163"/>
      <c r="Q50" t="str">
        <f t="shared" si="40"/>
        <v>Company Vehicle US</v>
      </c>
      <c r="R50" s="105">
        <f t="shared" si="41"/>
        <v>0</v>
      </c>
      <c r="S50" s="98">
        <f t="shared" si="42"/>
        <v>0</v>
      </c>
      <c r="T50" s="98">
        <f t="shared" si="35"/>
        <v>0</v>
      </c>
      <c r="U50" s="98">
        <f t="shared" si="36"/>
        <v>0</v>
      </c>
      <c r="V50" s="98">
        <f t="shared" si="37"/>
        <v>0</v>
      </c>
      <c r="W50" s="101">
        <f t="shared" si="38"/>
        <v>0</v>
      </c>
      <c r="X50" s="164"/>
      <c r="Y50" s="163"/>
      <c r="Z50" s="27"/>
      <c r="AA50" s="27"/>
      <c r="AB50" s="27"/>
      <c r="AC50" s="27"/>
      <c r="AD50" s="27"/>
      <c r="AE50" s="27"/>
      <c r="AF50" s="164"/>
    </row>
    <row r="51" spans="1:32" ht="15" thickBot="1" x14ac:dyDescent="0.35">
      <c r="A51" s="42" t="str">
        <f t="shared" si="31"/>
        <v>Item description</v>
      </c>
      <c r="B51" s="155">
        <f t="shared" ref="B51:M51" si="52">IF(B$40=$C16,$B16,IF(B$40=EDATE($C16,12*$D16),$E16*-1,IF($C16&gt;B$40,IF($C16&lt;C$40,$B16,0),IF(EDATE($C16,12*$D16)&gt;C$40,0,IF(EDATE($C16,12*$D16)&gt;B$40,IF(EDATE($C16,12*$D16)&lt;C$40,$E16*-1,0),0)))))</f>
        <v>0</v>
      </c>
      <c r="C51" s="87">
        <f t="shared" si="52"/>
        <v>0</v>
      </c>
      <c r="D51" s="87">
        <f t="shared" si="52"/>
        <v>0</v>
      </c>
      <c r="E51" s="87">
        <f t="shared" si="52"/>
        <v>0</v>
      </c>
      <c r="F51" s="87">
        <f t="shared" si="52"/>
        <v>0</v>
      </c>
      <c r="G51" s="87">
        <f t="shared" si="52"/>
        <v>0</v>
      </c>
      <c r="H51" s="87">
        <f t="shared" si="52"/>
        <v>0</v>
      </c>
      <c r="I51" s="156">
        <f t="shared" si="33"/>
        <v>0</v>
      </c>
      <c r="J51" s="243"/>
      <c r="K51" s="155">
        <f t="shared" si="52"/>
        <v>0</v>
      </c>
      <c r="L51" s="87">
        <f t="shared" si="52"/>
        <v>0</v>
      </c>
      <c r="M51" s="87">
        <f t="shared" si="52"/>
        <v>0</v>
      </c>
      <c r="N51" s="156">
        <f t="shared" si="51"/>
        <v>0</v>
      </c>
      <c r="P51" s="163"/>
      <c r="Q51" s="212" t="str">
        <f t="shared" si="40"/>
        <v>Item description</v>
      </c>
      <c r="R51" s="106">
        <f t="shared" si="41"/>
        <v>0</v>
      </c>
      <c r="S51" s="99">
        <f t="shared" si="42"/>
        <v>0</v>
      </c>
      <c r="T51" s="99">
        <f t="shared" si="35"/>
        <v>0</v>
      </c>
      <c r="U51" s="99">
        <f t="shared" si="36"/>
        <v>0</v>
      </c>
      <c r="V51" s="99">
        <f t="shared" si="37"/>
        <v>0</v>
      </c>
      <c r="W51" s="102">
        <f t="shared" si="38"/>
        <v>0</v>
      </c>
      <c r="X51" s="164"/>
      <c r="Y51" s="163"/>
      <c r="Z51" s="27"/>
      <c r="AA51" s="27"/>
      <c r="AB51" s="27"/>
      <c r="AC51" s="27"/>
      <c r="AD51" s="27"/>
      <c r="AE51" s="27"/>
      <c r="AF51" s="164"/>
    </row>
    <row r="52" spans="1:32" ht="15" thickTop="1" x14ac:dyDescent="0.3">
      <c r="A52" s="85" t="s">
        <v>13</v>
      </c>
      <c r="B52" s="181">
        <f>SUM(B41:B51)</f>
        <v>0</v>
      </c>
      <c r="C52" s="182">
        <f t="shared" ref="C52:N52" si="53">SUM(C41:C51)</f>
        <v>0</v>
      </c>
      <c r="D52" s="182">
        <f t="shared" si="53"/>
        <v>0</v>
      </c>
      <c r="E52" s="182">
        <f>SUM(E41:E51)</f>
        <v>0</v>
      </c>
      <c r="F52" s="182">
        <f t="shared" si="53"/>
        <v>0</v>
      </c>
      <c r="G52" s="182">
        <f t="shared" si="53"/>
        <v>0</v>
      </c>
      <c r="H52" s="182">
        <f t="shared" si="53"/>
        <v>0</v>
      </c>
      <c r="I52" s="183">
        <f t="shared" si="53"/>
        <v>0</v>
      </c>
      <c r="J52" s="243"/>
      <c r="K52" s="181">
        <f t="shared" si="53"/>
        <v>0</v>
      </c>
      <c r="L52" s="182">
        <f t="shared" si="53"/>
        <v>0</v>
      </c>
      <c r="M52" s="182">
        <f t="shared" si="53"/>
        <v>0</v>
      </c>
      <c r="N52" s="183">
        <f t="shared" si="53"/>
        <v>0</v>
      </c>
      <c r="P52" s="163"/>
      <c r="R52" s="86">
        <f>SUM(R42:R51)</f>
        <v>0</v>
      </c>
      <c r="S52" s="86">
        <f t="shared" ref="S52:W52" si="54">SUM(S42:S51)</f>
        <v>0</v>
      </c>
      <c r="T52" s="86">
        <f t="shared" si="54"/>
        <v>0</v>
      </c>
      <c r="U52" s="86">
        <f t="shared" si="54"/>
        <v>0</v>
      </c>
      <c r="V52" s="86">
        <f t="shared" si="54"/>
        <v>0</v>
      </c>
      <c r="W52" s="118">
        <f t="shared" si="54"/>
        <v>0</v>
      </c>
      <c r="X52" s="164"/>
      <c r="Y52" s="163"/>
      <c r="Z52" s="27"/>
      <c r="AA52" s="27"/>
      <c r="AB52" s="27"/>
      <c r="AC52" s="27"/>
      <c r="AD52" s="27"/>
      <c r="AE52" s="27"/>
      <c r="AF52" s="164"/>
    </row>
    <row r="53" spans="1:32" ht="15" thickBot="1" x14ac:dyDescent="0.35">
      <c r="P53" s="163"/>
      <c r="X53" s="164"/>
      <c r="Y53" s="163"/>
      <c r="Z53" s="27"/>
      <c r="AA53" s="27"/>
      <c r="AB53" s="27"/>
      <c r="AC53" s="27"/>
      <c r="AD53" s="27"/>
      <c r="AE53" s="27"/>
      <c r="AF53" s="164"/>
    </row>
    <row r="54" spans="1:32" ht="15" thickTop="1" x14ac:dyDescent="0.3">
      <c r="P54" s="221"/>
      <c r="Q54" s="222"/>
      <c r="R54" s="222"/>
      <c r="S54" s="222"/>
      <c r="T54" s="222"/>
      <c r="U54" s="222"/>
      <c r="V54" s="222"/>
      <c r="W54" s="222"/>
      <c r="X54" s="216"/>
      <c r="Y54" s="221"/>
      <c r="Z54" s="222"/>
      <c r="AA54" s="222"/>
      <c r="AB54" s="222"/>
      <c r="AC54" s="222"/>
      <c r="AD54" s="222"/>
      <c r="AE54" s="222"/>
      <c r="AF54" s="216"/>
    </row>
    <row r="55" spans="1:32" ht="19.8" x14ac:dyDescent="0.4">
      <c r="A55" s="41" t="s">
        <v>275</v>
      </c>
      <c r="P55" s="163"/>
      <c r="Q55" s="230" t="str">
        <f>A55</f>
        <v>Capital Expenditures Value - Impact on Balance Sheet</v>
      </c>
      <c r="X55" s="164"/>
      <c r="Y55" s="163"/>
      <c r="Z55" s="218"/>
      <c r="AA55" s="27"/>
      <c r="AB55" s="27"/>
      <c r="AC55" s="27"/>
      <c r="AD55" s="27"/>
      <c r="AE55" s="27"/>
      <c r="AF55" s="164"/>
    </row>
    <row r="56" spans="1:32" ht="17.399999999999999" x14ac:dyDescent="0.35">
      <c r="A56" s="36"/>
      <c r="B56" s="343" t="s">
        <v>168</v>
      </c>
      <c r="C56" s="344"/>
      <c r="D56" s="344"/>
      <c r="E56" s="344"/>
      <c r="F56" s="344"/>
      <c r="G56" s="344"/>
      <c r="H56" s="344"/>
      <c r="I56" s="345"/>
      <c r="J56" s="243"/>
      <c r="K56" s="351" t="s">
        <v>169</v>
      </c>
      <c r="L56" s="352"/>
      <c r="M56" s="352"/>
      <c r="N56" s="353"/>
      <c r="P56" s="163"/>
      <c r="Q56" s="218" t="s">
        <v>211</v>
      </c>
      <c r="X56" s="164"/>
      <c r="Y56" s="163"/>
      <c r="AF56" s="164"/>
    </row>
    <row r="57" spans="1:32" x14ac:dyDescent="0.3">
      <c r="A57" s="36"/>
      <c r="B57" s="346" t="s">
        <v>205</v>
      </c>
      <c r="C57" s="347"/>
      <c r="D57" s="347"/>
      <c r="E57" s="348"/>
      <c r="F57" s="349" t="s">
        <v>206</v>
      </c>
      <c r="G57" s="347"/>
      <c r="H57" s="347"/>
      <c r="I57" s="350"/>
      <c r="J57" s="243"/>
      <c r="K57" s="108" t="s">
        <v>145</v>
      </c>
      <c r="L57" s="109" t="s">
        <v>146</v>
      </c>
      <c r="M57" s="109" t="s">
        <v>147</v>
      </c>
      <c r="N57" s="110" t="s">
        <v>243</v>
      </c>
      <c r="P57" s="163"/>
      <c r="R57" s="351" t="s">
        <v>212</v>
      </c>
      <c r="S57" s="352"/>
      <c r="T57" s="352"/>
      <c r="U57" s="352"/>
      <c r="V57" s="352"/>
      <c r="W57" s="353"/>
      <c r="X57" s="164"/>
      <c r="Y57" s="163"/>
      <c r="AF57" s="164"/>
    </row>
    <row r="58" spans="1:32" x14ac:dyDescent="0.3">
      <c r="A58" s="59"/>
      <c r="B58" s="104">
        <f>StartDate</f>
        <v>43921</v>
      </c>
      <c r="C58" s="60">
        <f>EDATE(B58,3)</f>
        <v>44012</v>
      </c>
      <c r="D58" s="60">
        <f t="shared" ref="D58" si="55">EDATE(C58,3)</f>
        <v>44104</v>
      </c>
      <c r="E58" s="60">
        <f t="shared" ref="E58" si="56">EDATE(D58,3)</f>
        <v>44195</v>
      </c>
      <c r="F58" s="60">
        <f t="shared" ref="F58" si="57">EDATE(E58,3)</f>
        <v>44285</v>
      </c>
      <c r="G58" s="60">
        <f t="shared" ref="G58" si="58">EDATE(F58,3)</f>
        <v>44377</v>
      </c>
      <c r="H58" s="60">
        <f t="shared" ref="H58" si="59">EDATE(G58,3)</f>
        <v>44469</v>
      </c>
      <c r="I58" s="100">
        <f t="shared" ref="I58" si="60">EDATE(H58,3)</f>
        <v>44560</v>
      </c>
      <c r="J58" s="243"/>
      <c r="K58" s="104">
        <f>EDATE(I58,3)</f>
        <v>44650</v>
      </c>
      <c r="L58" s="60">
        <f t="shared" ref="L58" si="61">EDATE(K58,12)</f>
        <v>45015</v>
      </c>
      <c r="M58" s="60">
        <f t="shared" ref="M58:N58" si="62">EDATE(L58,12)</f>
        <v>45381</v>
      </c>
      <c r="N58" s="107">
        <f t="shared" si="62"/>
        <v>45746</v>
      </c>
      <c r="P58" s="163"/>
      <c r="R58" s="108" t="s">
        <v>205</v>
      </c>
      <c r="S58" s="109" t="s">
        <v>206</v>
      </c>
      <c r="T58" s="109" t="s">
        <v>145</v>
      </c>
      <c r="U58" s="109" t="s">
        <v>146</v>
      </c>
      <c r="V58" s="109" t="s">
        <v>147</v>
      </c>
      <c r="W58" s="110" t="s">
        <v>243</v>
      </c>
      <c r="X58" s="164"/>
      <c r="Y58" s="163"/>
      <c r="AF58" s="164"/>
    </row>
    <row r="59" spans="1:32" x14ac:dyDescent="0.3">
      <c r="A59" s="42" t="str">
        <f t="shared" ref="A59:A69" si="63">A23</f>
        <v>Lab Tools</v>
      </c>
      <c r="B59" s="120">
        <f t="shared" ref="B59:B69" si="64">B41</f>
        <v>0</v>
      </c>
      <c r="C59" s="51">
        <f t="shared" ref="C59:N59" si="65">IF(ROUND(B59,1)&gt;0,B59-B23,C41)</f>
        <v>0</v>
      </c>
      <c r="D59" s="51">
        <f t="shared" si="65"/>
        <v>0</v>
      </c>
      <c r="E59" s="51">
        <f t="shared" si="65"/>
        <v>0</v>
      </c>
      <c r="F59" s="51">
        <f t="shared" si="65"/>
        <v>0</v>
      </c>
      <c r="G59" s="51">
        <f t="shared" si="65"/>
        <v>0</v>
      </c>
      <c r="H59" s="51">
        <f t="shared" si="65"/>
        <v>0</v>
      </c>
      <c r="I59" s="121">
        <f t="shared" si="65"/>
        <v>0</v>
      </c>
      <c r="J59" s="243"/>
      <c r="K59" s="120">
        <f t="shared" ref="K59:K69" si="66">IF(ROUND(I59,1)&gt;0,I59-I23,K41)</f>
        <v>0</v>
      </c>
      <c r="L59" s="51">
        <f t="shared" si="65"/>
        <v>0</v>
      </c>
      <c r="M59" s="51">
        <f t="shared" si="65"/>
        <v>0</v>
      </c>
      <c r="N59" s="121">
        <f t="shared" si="65"/>
        <v>0</v>
      </c>
      <c r="P59" s="163"/>
      <c r="R59" s="104">
        <f>B58</f>
        <v>43921</v>
      </c>
      <c r="S59" s="60">
        <f>F58</f>
        <v>44285</v>
      </c>
      <c r="T59" s="60">
        <f t="shared" ref="T59:T69" si="67">K58</f>
        <v>44650</v>
      </c>
      <c r="U59" s="60">
        <f t="shared" ref="U59:U69" si="68">L58</f>
        <v>45015</v>
      </c>
      <c r="V59" s="60">
        <f t="shared" ref="V59:V69" si="69">M58</f>
        <v>45381</v>
      </c>
      <c r="W59" s="107">
        <f t="shared" ref="W59:W69" si="70">N58</f>
        <v>45746</v>
      </c>
      <c r="X59" s="164"/>
      <c r="Y59" s="163"/>
      <c r="AF59" s="164"/>
    </row>
    <row r="60" spans="1:32" x14ac:dyDescent="0.3">
      <c r="A60" s="42" t="str">
        <f t="shared" si="63"/>
        <v>Product Testing Unit</v>
      </c>
      <c r="B60" s="120">
        <f t="shared" si="64"/>
        <v>0</v>
      </c>
      <c r="C60" s="51">
        <f t="shared" ref="C60:N60" si="71">IF(ROUND(B60,1)&gt;0,B60-B24,C42)</f>
        <v>0</v>
      </c>
      <c r="D60" s="51">
        <f t="shared" si="71"/>
        <v>0</v>
      </c>
      <c r="E60" s="51">
        <f t="shared" si="71"/>
        <v>0</v>
      </c>
      <c r="F60" s="51">
        <f t="shared" si="71"/>
        <v>0</v>
      </c>
      <c r="G60" s="51">
        <f t="shared" si="71"/>
        <v>0</v>
      </c>
      <c r="H60" s="51">
        <f t="shared" si="71"/>
        <v>0</v>
      </c>
      <c r="I60" s="121">
        <f t="shared" si="71"/>
        <v>0</v>
      </c>
      <c r="J60" s="243"/>
      <c r="K60" s="120">
        <f t="shared" si="66"/>
        <v>0</v>
      </c>
      <c r="L60" s="51">
        <f t="shared" si="71"/>
        <v>0</v>
      </c>
      <c r="M60" s="51">
        <f t="shared" si="71"/>
        <v>0</v>
      </c>
      <c r="N60" s="121">
        <f t="shared" si="71"/>
        <v>0</v>
      </c>
      <c r="P60" s="163"/>
      <c r="Q60" s="212" t="str">
        <f t="shared" ref="Q60:Q69" si="72">A59</f>
        <v>Lab Tools</v>
      </c>
      <c r="R60" s="105">
        <f t="shared" ref="R60:R69" si="73">SUM(B59:E59)</f>
        <v>0</v>
      </c>
      <c r="S60" s="98">
        <f t="shared" ref="S60:S69" si="74">SUM(F59:I59)</f>
        <v>0</v>
      </c>
      <c r="T60" s="98">
        <f t="shared" si="67"/>
        <v>0</v>
      </c>
      <c r="U60" s="98">
        <f t="shared" si="68"/>
        <v>0</v>
      </c>
      <c r="V60" s="98">
        <f t="shared" si="69"/>
        <v>0</v>
      </c>
      <c r="W60" s="101">
        <f t="shared" si="70"/>
        <v>0</v>
      </c>
      <c r="X60" s="164"/>
      <c r="Y60" s="163"/>
      <c r="AF60" s="164"/>
    </row>
    <row r="61" spans="1:32" x14ac:dyDescent="0.3">
      <c r="A61" s="42" t="str">
        <f t="shared" si="63"/>
        <v>Office Furniture</v>
      </c>
      <c r="B61" s="120">
        <f t="shared" si="64"/>
        <v>0</v>
      </c>
      <c r="C61" s="51">
        <f t="shared" ref="C61:N61" si="75">IF(ROUND(B61,1)&gt;0,B61-B25,C43)</f>
        <v>0</v>
      </c>
      <c r="D61" s="51">
        <f t="shared" si="75"/>
        <v>0</v>
      </c>
      <c r="E61" s="51">
        <f t="shared" si="75"/>
        <v>0</v>
      </c>
      <c r="F61" s="51">
        <f t="shared" si="75"/>
        <v>0</v>
      </c>
      <c r="G61" s="51">
        <f t="shared" si="75"/>
        <v>0</v>
      </c>
      <c r="H61" s="51">
        <f t="shared" si="75"/>
        <v>0</v>
      </c>
      <c r="I61" s="121">
        <f t="shared" si="75"/>
        <v>0</v>
      </c>
      <c r="J61" s="243"/>
      <c r="K61" s="120">
        <f t="shared" si="66"/>
        <v>0</v>
      </c>
      <c r="L61" s="51">
        <f t="shared" si="75"/>
        <v>0</v>
      </c>
      <c r="M61" s="51">
        <f t="shared" si="75"/>
        <v>0</v>
      </c>
      <c r="N61" s="121">
        <f t="shared" si="75"/>
        <v>0</v>
      </c>
      <c r="P61" s="163"/>
      <c r="Q61" s="212" t="str">
        <f t="shared" si="72"/>
        <v>Product Testing Unit</v>
      </c>
      <c r="R61" s="105">
        <f t="shared" si="73"/>
        <v>0</v>
      </c>
      <c r="S61" s="98">
        <f t="shared" si="74"/>
        <v>0</v>
      </c>
      <c r="T61" s="98">
        <f t="shared" si="67"/>
        <v>0</v>
      </c>
      <c r="U61" s="98">
        <f t="shared" si="68"/>
        <v>0</v>
      </c>
      <c r="V61" s="98">
        <f t="shared" si="69"/>
        <v>0</v>
      </c>
      <c r="W61" s="101">
        <f t="shared" si="70"/>
        <v>0</v>
      </c>
      <c r="X61" s="164"/>
      <c r="Y61" s="163"/>
      <c r="AF61" s="164"/>
    </row>
    <row r="62" spans="1:32" x14ac:dyDescent="0.3">
      <c r="A62" s="42" t="str">
        <f t="shared" si="63"/>
        <v>Company Vehicle</v>
      </c>
      <c r="B62" s="120">
        <f t="shared" si="64"/>
        <v>0</v>
      </c>
      <c r="C62" s="51">
        <f t="shared" ref="C62:N62" si="76">IF(ROUND(B62,1)&gt;0,B62-B26,C44)</f>
        <v>0</v>
      </c>
      <c r="D62" s="51">
        <f t="shared" si="76"/>
        <v>0</v>
      </c>
      <c r="E62" s="51">
        <f t="shared" si="76"/>
        <v>0</v>
      </c>
      <c r="F62" s="51">
        <f t="shared" si="76"/>
        <v>0</v>
      </c>
      <c r="G62" s="51">
        <f t="shared" si="76"/>
        <v>0</v>
      </c>
      <c r="H62" s="51">
        <f t="shared" si="76"/>
        <v>0</v>
      </c>
      <c r="I62" s="121">
        <f t="shared" si="76"/>
        <v>0</v>
      </c>
      <c r="J62" s="243"/>
      <c r="K62" s="120">
        <f t="shared" si="66"/>
        <v>0</v>
      </c>
      <c r="L62" s="51">
        <f t="shared" si="76"/>
        <v>0</v>
      </c>
      <c r="M62" s="51">
        <f t="shared" si="76"/>
        <v>0</v>
      </c>
      <c r="N62" s="121">
        <f t="shared" si="76"/>
        <v>0</v>
      </c>
      <c r="P62" s="163"/>
      <c r="Q62" s="212" t="str">
        <f t="shared" si="72"/>
        <v>Office Furniture</v>
      </c>
      <c r="R62" s="105">
        <f t="shared" si="73"/>
        <v>0</v>
      </c>
      <c r="S62" s="98">
        <f t="shared" si="74"/>
        <v>0</v>
      </c>
      <c r="T62" s="98">
        <f t="shared" si="67"/>
        <v>0</v>
      </c>
      <c r="U62" s="98">
        <f t="shared" si="68"/>
        <v>0</v>
      </c>
      <c r="V62" s="98">
        <f t="shared" si="69"/>
        <v>0</v>
      </c>
      <c r="W62" s="101">
        <f t="shared" si="70"/>
        <v>0</v>
      </c>
      <c r="X62" s="164"/>
      <c r="Y62" s="163"/>
      <c r="AF62" s="164"/>
    </row>
    <row r="63" spans="1:32" x14ac:dyDescent="0.3">
      <c r="A63" s="42" t="str">
        <f t="shared" si="63"/>
        <v>High Cap Testing Unit</v>
      </c>
      <c r="B63" s="120">
        <f t="shared" si="64"/>
        <v>0</v>
      </c>
      <c r="C63" s="51">
        <f t="shared" ref="C63:N63" si="77">IF(ROUND(B63,1)&gt;0,B63-B27,C45)</f>
        <v>0</v>
      </c>
      <c r="D63" s="51">
        <f t="shared" si="77"/>
        <v>0</v>
      </c>
      <c r="E63" s="51">
        <f t="shared" si="77"/>
        <v>0</v>
      </c>
      <c r="F63" s="51">
        <f t="shared" si="77"/>
        <v>0</v>
      </c>
      <c r="G63" s="51">
        <f t="shared" si="77"/>
        <v>0</v>
      </c>
      <c r="H63" s="51">
        <f t="shared" si="77"/>
        <v>0</v>
      </c>
      <c r="I63" s="121">
        <f t="shared" si="77"/>
        <v>0</v>
      </c>
      <c r="J63" s="243"/>
      <c r="K63" s="120">
        <f t="shared" si="66"/>
        <v>0</v>
      </c>
      <c r="L63" s="51">
        <f t="shared" si="77"/>
        <v>0</v>
      </c>
      <c r="M63" s="51">
        <f t="shared" si="77"/>
        <v>0</v>
      </c>
      <c r="N63" s="121">
        <f t="shared" si="77"/>
        <v>0</v>
      </c>
      <c r="P63" s="163"/>
      <c r="Q63" s="212" t="str">
        <f t="shared" si="72"/>
        <v>Company Vehicle</v>
      </c>
      <c r="R63" s="105">
        <f t="shared" si="73"/>
        <v>0</v>
      </c>
      <c r="S63" s="98">
        <f t="shared" si="74"/>
        <v>0</v>
      </c>
      <c r="T63" s="98">
        <f t="shared" si="67"/>
        <v>0</v>
      </c>
      <c r="U63" s="98">
        <f t="shared" si="68"/>
        <v>0</v>
      </c>
      <c r="V63" s="98">
        <f t="shared" si="69"/>
        <v>0</v>
      </c>
      <c r="W63" s="101">
        <f t="shared" si="70"/>
        <v>0</v>
      </c>
      <c r="X63" s="164"/>
      <c r="Y63" s="163"/>
      <c r="AF63" s="164"/>
    </row>
    <row r="64" spans="1:32" x14ac:dyDescent="0.3">
      <c r="A64" s="42" t="str">
        <f t="shared" si="63"/>
        <v>Office Furniture US</v>
      </c>
      <c r="B64" s="120">
        <f t="shared" si="64"/>
        <v>0</v>
      </c>
      <c r="C64" s="51">
        <f t="shared" ref="C64:N64" si="78">IF(ROUND(B64,1)&gt;0,B64-B28,C46)</f>
        <v>0</v>
      </c>
      <c r="D64" s="51">
        <f t="shared" si="78"/>
        <v>0</v>
      </c>
      <c r="E64" s="51">
        <f t="shared" si="78"/>
        <v>0</v>
      </c>
      <c r="F64" s="51">
        <f t="shared" si="78"/>
        <v>0</v>
      </c>
      <c r="G64" s="51">
        <f t="shared" si="78"/>
        <v>0</v>
      </c>
      <c r="H64" s="51">
        <f t="shared" si="78"/>
        <v>0</v>
      </c>
      <c r="I64" s="121">
        <f t="shared" si="78"/>
        <v>0</v>
      </c>
      <c r="J64" s="243"/>
      <c r="K64" s="120">
        <f t="shared" si="66"/>
        <v>0</v>
      </c>
      <c r="L64" s="51">
        <f t="shared" si="78"/>
        <v>0</v>
      </c>
      <c r="M64" s="51">
        <f t="shared" si="78"/>
        <v>0</v>
      </c>
      <c r="N64" s="121">
        <f t="shared" si="78"/>
        <v>0</v>
      </c>
      <c r="P64" s="163"/>
      <c r="Q64" s="212" t="str">
        <f t="shared" si="72"/>
        <v>High Cap Testing Unit</v>
      </c>
      <c r="R64" s="105">
        <f t="shared" si="73"/>
        <v>0</v>
      </c>
      <c r="S64" s="98">
        <f t="shared" si="74"/>
        <v>0</v>
      </c>
      <c r="T64" s="98">
        <f t="shared" si="67"/>
        <v>0</v>
      </c>
      <c r="U64" s="98">
        <f t="shared" si="68"/>
        <v>0</v>
      </c>
      <c r="V64" s="98">
        <f t="shared" si="69"/>
        <v>0</v>
      </c>
      <c r="W64" s="101">
        <f t="shared" si="70"/>
        <v>0</v>
      </c>
      <c r="X64" s="164"/>
      <c r="Y64" s="163"/>
      <c r="AF64" s="164"/>
    </row>
    <row r="65" spans="1:32" x14ac:dyDescent="0.3">
      <c r="A65" s="42" t="str">
        <f t="shared" si="63"/>
        <v>Storage Racks</v>
      </c>
      <c r="B65" s="120">
        <f t="shared" si="64"/>
        <v>0</v>
      </c>
      <c r="C65" s="51">
        <f t="shared" ref="C65:N65" si="79">IF(ROUND(B65,1)&gt;0,B65-B29,C47)</f>
        <v>0</v>
      </c>
      <c r="D65" s="51">
        <f t="shared" si="79"/>
        <v>0</v>
      </c>
      <c r="E65" s="51">
        <f t="shared" si="79"/>
        <v>0</v>
      </c>
      <c r="F65" s="51">
        <f t="shared" si="79"/>
        <v>0</v>
      </c>
      <c r="G65" s="51">
        <f t="shared" si="79"/>
        <v>0</v>
      </c>
      <c r="H65" s="51">
        <f t="shared" si="79"/>
        <v>0</v>
      </c>
      <c r="I65" s="121">
        <f t="shared" si="79"/>
        <v>0</v>
      </c>
      <c r="J65" s="243"/>
      <c r="K65" s="120">
        <f t="shared" si="66"/>
        <v>0</v>
      </c>
      <c r="L65" s="51">
        <f t="shared" si="79"/>
        <v>0</v>
      </c>
      <c r="M65" s="51">
        <f t="shared" si="79"/>
        <v>0</v>
      </c>
      <c r="N65" s="121">
        <f t="shared" si="79"/>
        <v>0</v>
      </c>
      <c r="P65" s="163"/>
      <c r="Q65" s="212" t="str">
        <f t="shared" si="72"/>
        <v>Office Furniture US</v>
      </c>
      <c r="R65" s="105">
        <f t="shared" si="73"/>
        <v>0</v>
      </c>
      <c r="S65" s="98">
        <f t="shared" si="74"/>
        <v>0</v>
      </c>
      <c r="T65" s="98">
        <f t="shared" si="67"/>
        <v>0</v>
      </c>
      <c r="U65" s="98">
        <f t="shared" si="68"/>
        <v>0</v>
      </c>
      <c r="V65" s="98">
        <f t="shared" si="69"/>
        <v>0</v>
      </c>
      <c r="W65" s="101">
        <f t="shared" si="70"/>
        <v>0</v>
      </c>
      <c r="X65" s="164"/>
      <c r="Y65" s="163"/>
      <c r="AF65" s="164"/>
    </row>
    <row r="66" spans="1:32" x14ac:dyDescent="0.3">
      <c r="A66" s="42" t="str">
        <f t="shared" si="63"/>
        <v>Lab Tools pt 2</v>
      </c>
      <c r="B66" s="120">
        <f t="shared" si="64"/>
        <v>0</v>
      </c>
      <c r="C66" s="51">
        <f t="shared" ref="C66:N66" si="80">IF(ROUND(B66,1)&gt;0,B66-B30,C48)</f>
        <v>0</v>
      </c>
      <c r="D66" s="51">
        <f t="shared" si="80"/>
        <v>0</v>
      </c>
      <c r="E66" s="51">
        <f t="shared" si="80"/>
        <v>0</v>
      </c>
      <c r="F66" s="51">
        <f t="shared" si="80"/>
        <v>0</v>
      </c>
      <c r="G66" s="51">
        <f t="shared" si="80"/>
        <v>0</v>
      </c>
      <c r="H66" s="51">
        <f t="shared" si="80"/>
        <v>0</v>
      </c>
      <c r="I66" s="121">
        <f t="shared" si="80"/>
        <v>0</v>
      </c>
      <c r="J66" s="243"/>
      <c r="K66" s="120">
        <f t="shared" si="66"/>
        <v>0</v>
      </c>
      <c r="L66" s="51">
        <f t="shared" si="80"/>
        <v>0</v>
      </c>
      <c r="M66" s="51">
        <f t="shared" si="80"/>
        <v>0</v>
      </c>
      <c r="N66" s="121">
        <f t="shared" si="80"/>
        <v>0</v>
      </c>
      <c r="P66" s="163"/>
      <c r="Q66" t="str">
        <f t="shared" si="72"/>
        <v>Storage Racks</v>
      </c>
      <c r="R66" s="105">
        <f t="shared" si="73"/>
        <v>0</v>
      </c>
      <c r="S66" s="98">
        <f t="shared" si="74"/>
        <v>0</v>
      </c>
      <c r="T66" s="98">
        <f t="shared" si="67"/>
        <v>0</v>
      </c>
      <c r="U66" s="98">
        <f t="shared" si="68"/>
        <v>0</v>
      </c>
      <c r="V66" s="98">
        <f t="shared" si="69"/>
        <v>0</v>
      </c>
      <c r="W66" s="101">
        <f t="shared" si="70"/>
        <v>0</v>
      </c>
      <c r="X66" s="164"/>
      <c r="Y66" s="163"/>
      <c r="AF66" s="164"/>
    </row>
    <row r="67" spans="1:32" x14ac:dyDescent="0.3">
      <c r="A67" s="42" t="str">
        <f t="shared" si="63"/>
        <v>Company Vehicle US</v>
      </c>
      <c r="B67" s="120">
        <f t="shared" si="64"/>
        <v>0</v>
      </c>
      <c r="C67" s="51">
        <f t="shared" ref="C67:N67" si="81">IF(ROUND(B67,1)&gt;0,B67-B31,C49)</f>
        <v>0</v>
      </c>
      <c r="D67" s="51">
        <f t="shared" si="81"/>
        <v>0</v>
      </c>
      <c r="E67" s="51">
        <f t="shared" si="81"/>
        <v>0</v>
      </c>
      <c r="F67" s="51">
        <f t="shared" si="81"/>
        <v>0</v>
      </c>
      <c r="G67" s="51">
        <f t="shared" si="81"/>
        <v>0</v>
      </c>
      <c r="H67" s="51">
        <f t="shared" si="81"/>
        <v>0</v>
      </c>
      <c r="I67" s="121">
        <f t="shared" si="81"/>
        <v>0</v>
      </c>
      <c r="J67" s="243"/>
      <c r="K67" s="120">
        <f t="shared" si="66"/>
        <v>0</v>
      </c>
      <c r="L67" s="51">
        <f t="shared" si="81"/>
        <v>0</v>
      </c>
      <c r="M67" s="51">
        <f t="shared" si="81"/>
        <v>0</v>
      </c>
      <c r="N67" s="121">
        <f t="shared" si="81"/>
        <v>0</v>
      </c>
      <c r="P67" s="163"/>
      <c r="Q67" t="str">
        <f t="shared" si="72"/>
        <v>Lab Tools pt 2</v>
      </c>
      <c r="R67" s="105">
        <f t="shared" si="73"/>
        <v>0</v>
      </c>
      <c r="S67" s="98">
        <f t="shared" si="74"/>
        <v>0</v>
      </c>
      <c r="T67" s="98">
        <f t="shared" si="67"/>
        <v>0</v>
      </c>
      <c r="U67" s="98">
        <f t="shared" si="68"/>
        <v>0</v>
      </c>
      <c r="V67" s="98">
        <f t="shared" si="69"/>
        <v>0</v>
      </c>
      <c r="W67" s="101">
        <f t="shared" si="70"/>
        <v>0</v>
      </c>
      <c r="X67" s="164"/>
      <c r="Y67" s="163"/>
      <c r="Z67" s="27"/>
      <c r="AA67" s="27"/>
      <c r="AB67" s="27"/>
      <c r="AC67" s="27"/>
      <c r="AD67" s="27"/>
      <c r="AE67" s="27"/>
      <c r="AF67" s="164"/>
    </row>
    <row r="68" spans="1:32" x14ac:dyDescent="0.3">
      <c r="A68" s="42" t="str">
        <f t="shared" si="63"/>
        <v>Item description</v>
      </c>
      <c r="B68" s="120">
        <f t="shared" si="64"/>
        <v>0</v>
      </c>
      <c r="C68" s="51">
        <f t="shared" ref="C68:N68" si="82">IF(ROUND(B68,1)&gt;0,B68-B32,C50)</f>
        <v>0</v>
      </c>
      <c r="D68" s="51">
        <f t="shared" si="82"/>
        <v>0</v>
      </c>
      <c r="E68" s="51">
        <f t="shared" si="82"/>
        <v>0</v>
      </c>
      <c r="F68" s="51">
        <f t="shared" si="82"/>
        <v>0</v>
      </c>
      <c r="G68" s="51">
        <f t="shared" si="82"/>
        <v>0</v>
      </c>
      <c r="H68" s="51">
        <f t="shared" si="82"/>
        <v>0</v>
      </c>
      <c r="I68" s="121">
        <f t="shared" si="82"/>
        <v>0</v>
      </c>
      <c r="J68" s="243"/>
      <c r="K68" s="120">
        <f t="shared" si="66"/>
        <v>0</v>
      </c>
      <c r="L68" s="51">
        <f t="shared" si="82"/>
        <v>0</v>
      </c>
      <c r="M68" s="51">
        <f t="shared" si="82"/>
        <v>0</v>
      </c>
      <c r="N68" s="121">
        <f t="shared" si="82"/>
        <v>0</v>
      </c>
      <c r="P68" s="163"/>
      <c r="Q68" t="str">
        <f t="shared" si="72"/>
        <v>Company Vehicle US</v>
      </c>
      <c r="R68" s="105">
        <f t="shared" si="73"/>
        <v>0</v>
      </c>
      <c r="S68" s="98">
        <f t="shared" si="74"/>
        <v>0</v>
      </c>
      <c r="T68" s="98">
        <f t="shared" si="67"/>
        <v>0</v>
      </c>
      <c r="U68" s="98">
        <f t="shared" si="68"/>
        <v>0</v>
      </c>
      <c r="V68" s="98">
        <f t="shared" si="69"/>
        <v>0</v>
      </c>
      <c r="W68" s="101">
        <f t="shared" si="70"/>
        <v>0</v>
      </c>
      <c r="X68" s="164"/>
      <c r="Y68" s="163"/>
      <c r="Z68" s="27"/>
      <c r="AA68" s="27"/>
      <c r="AB68" s="27"/>
      <c r="AC68" s="27"/>
      <c r="AD68" s="27"/>
      <c r="AE68" s="27"/>
      <c r="AF68" s="164"/>
    </row>
    <row r="69" spans="1:32" ht="15" thickBot="1" x14ac:dyDescent="0.35">
      <c r="A69" s="43" t="str">
        <f t="shared" si="63"/>
        <v>Item description</v>
      </c>
      <c r="B69" s="122">
        <f t="shared" si="64"/>
        <v>0</v>
      </c>
      <c r="C69" s="52">
        <f t="shared" ref="C69:N69" si="83">IF(ROUND(B69,1)&gt;0,B69-B33,C51)</f>
        <v>0</v>
      </c>
      <c r="D69" s="52">
        <f t="shared" si="83"/>
        <v>0</v>
      </c>
      <c r="E69" s="52">
        <f t="shared" si="83"/>
        <v>0</v>
      </c>
      <c r="F69" s="52">
        <f t="shared" si="83"/>
        <v>0</v>
      </c>
      <c r="G69" s="52">
        <f t="shared" si="83"/>
        <v>0</v>
      </c>
      <c r="H69" s="52">
        <f t="shared" si="83"/>
        <v>0</v>
      </c>
      <c r="I69" s="123">
        <f t="shared" si="83"/>
        <v>0</v>
      </c>
      <c r="J69" s="243"/>
      <c r="K69" s="122">
        <f t="shared" si="66"/>
        <v>0</v>
      </c>
      <c r="L69" s="52">
        <f t="shared" si="83"/>
        <v>0</v>
      </c>
      <c r="M69" s="52">
        <f t="shared" si="83"/>
        <v>0</v>
      </c>
      <c r="N69" s="123">
        <f t="shared" si="83"/>
        <v>0</v>
      </c>
      <c r="P69" s="163"/>
      <c r="Q69" s="212" t="str">
        <f t="shared" si="72"/>
        <v>Item description</v>
      </c>
      <c r="R69" s="106">
        <f t="shared" si="73"/>
        <v>0</v>
      </c>
      <c r="S69" s="99">
        <f t="shared" si="74"/>
        <v>0</v>
      </c>
      <c r="T69" s="99">
        <f t="shared" si="67"/>
        <v>0</v>
      </c>
      <c r="U69" s="99">
        <f t="shared" si="68"/>
        <v>0</v>
      </c>
      <c r="V69" s="99">
        <f t="shared" si="69"/>
        <v>0</v>
      </c>
      <c r="W69" s="102">
        <f t="shared" si="70"/>
        <v>0</v>
      </c>
      <c r="X69" s="164"/>
      <c r="Y69" s="163"/>
      <c r="Z69" s="27"/>
      <c r="AA69" s="27"/>
      <c r="AB69" s="27"/>
      <c r="AC69" s="27"/>
      <c r="AD69" s="27"/>
      <c r="AE69" s="27"/>
      <c r="AF69" s="164"/>
    </row>
    <row r="70" spans="1:32" ht="15" thickTop="1" x14ac:dyDescent="0.3">
      <c r="A70" s="85" t="s">
        <v>13</v>
      </c>
      <c r="B70" s="181">
        <f>SUM(B59:B69)</f>
        <v>0</v>
      </c>
      <c r="C70" s="182">
        <f t="shared" ref="C70:I70" si="84">SUM(C59:C69)</f>
        <v>0</v>
      </c>
      <c r="D70" s="182">
        <f t="shared" si="84"/>
        <v>0</v>
      </c>
      <c r="E70" s="182">
        <f t="shared" si="84"/>
        <v>0</v>
      </c>
      <c r="F70" s="182">
        <f t="shared" si="84"/>
        <v>0</v>
      </c>
      <c r="G70" s="182">
        <f t="shared" si="84"/>
        <v>0</v>
      </c>
      <c r="H70" s="182">
        <f>SUM(H59:H69)</f>
        <v>0</v>
      </c>
      <c r="I70" s="183">
        <f t="shared" si="84"/>
        <v>0</v>
      </c>
      <c r="J70" s="243"/>
      <c r="K70" s="181">
        <f t="shared" ref="K70:N70" si="85">SUM(K59:K69)</f>
        <v>0</v>
      </c>
      <c r="L70" s="182">
        <f t="shared" si="85"/>
        <v>0</v>
      </c>
      <c r="M70" s="182">
        <f t="shared" si="85"/>
        <v>0</v>
      </c>
      <c r="N70" s="183">
        <f t="shared" si="85"/>
        <v>0</v>
      </c>
      <c r="P70" s="163"/>
      <c r="R70" s="86">
        <f>SUM(R60:R69)</f>
        <v>0</v>
      </c>
      <c r="S70" s="86">
        <f>SUM(S60:S69)</f>
        <v>0</v>
      </c>
      <c r="T70" s="86">
        <f t="shared" ref="T70:W70" si="86">SUM(T60:T69)</f>
        <v>0</v>
      </c>
      <c r="U70" s="86">
        <f t="shared" si="86"/>
        <v>0</v>
      </c>
      <c r="V70" s="86">
        <f t="shared" si="86"/>
        <v>0</v>
      </c>
      <c r="W70" s="118">
        <f t="shared" si="86"/>
        <v>0</v>
      </c>
      <c r="X70" s="164"/>
      <c r="Y70" s="163"/>
      <c r="Z70" s="27"/>
      <c r="AA70" s="27"/>
      <c r="AB70" s="27"/>
      <c r="AC70" s="27"/>
      <c r="AD70" s="27"/>
      <c r="AE70" s="27"/>
      <c r="AF70" s="164"/>
    </row>
    <row r="71" spans="1:32" x14ac:dyDescent="0.3">
      <c r="P71" s="163"/>
      <c r="X71" s="164"/>
      <c r="Y71" s="163"/>
      <c r="Z71" s="27"/>
      <c r="AA71" s="27"/>
      <c r="AB71" s="27"/>
      <c r="AC71" s="27"/>
      <c r="AD71" s="27"/>
      <c r="AE71" s="27"/>
      <c r="AF71" s="164"/>
    </row>
    <row r="72" spans="1:32" ht="15" thickBot="1" x14ac:dyDescent="0.35">
      <c r="P72" s="125"/>
      <c r="Q72" s="126"/>
      <c r="R72" s="126"/>
      <c r="S72" s="126"/>
      <c r="T72" s="126"/>
      <c r="U72" s="126"/>
      <c r="V72" s="126"/>
      <c r="W72" s="126"/>
      <c r="X72" s="127"/>
      <c r="Y72" s="125"/>
      <c r="Z72" s="126"/>
      <c r="AA72" s="126"/>
      <c r="AB72" s="126"/>
      <c r="AC72" s="126"/>
      <c r="AD72" s="126"/>
      <c r="AE72" s="126"/>
      <c r="AF72" s="127"/>
    </row>
    <row r="73" spans="1:32" ht="15" thickTop="1" x14ac:dyDescent="0.3"/>
  </sheetData>
  <mergeCells count="27">
    <mergeCell ref="R57:W57"/>
    <mergeCell ref="R21:W21"/>
    <mergeCell ref="B56:I56"/>
    <mergeCell ref="K56:N56"/>
    <mergeCell ref="B57:E57"/>
    <mergeCell ref="F57:I57"/>
    <mergeCell ref="R39:W39"/>
    <mergeCell ref="F15:H15"/>
    <mergeCell ref="F16:H16"/>
    <mergeCell ref="B38:I38"/>
    <mergeCell ref="K38:N38"/>
    <mergeCell ref="B39:E39"/>
    <mergeCell ref="F39:I39"/>
    <mergeCell ref="B20:I20"/>
    <mergeCell ref="K20:N20"/>
    <mergeCell ref="B21:E21"/>
    <mergeCell ref="F21:I21"/>
    <mergeCell ref="F5:H5"/>
    <mergeCell ref="F6:H6"/>
    <mergeCell ref="F7:H7"/>
    <mergeCell ref="F8:H8"/>
    <mergeCell ref="F9:H9"/>
    <mergeCell ref="F10:H10"/>
    <mergeCell ref="F11:H11"/>
    <mergeCell ref="F13:H13"/>
    <mergeCell ref="F14:H14"/>
    <mergeCell ref="F12:H12"/>
  </mergeCells>
  <conditionalFormatting sqref="B42:I51 C41:I41 K41:N51">
    <cfRule type="cellIs" dxfId="103" priority="6" operator="lessThan">
      <formula>0</formula>
    </cfRule>
  </conditionalFormatting>
  <conditionalFormatting sqref="B41:I52 K41:N52">
    <cfRule type="cellIs" dxfId="102" priority="5" operator="lessThan">
      <formula>0</formula>
    </cfRule>
  </conditionalFormatting>
  <conditionalFormatting sqref="B34:N34">
    <cfRule type="cellIs" dxfId="101" priority="4" operator="lessThan">
      <formula>0</formula>
    </cfRule>
  </conditionalFormatting>
  <conditionalFormatting sqref="B70:I70 K70:N70">
    <cfRule type="cellIs" dxfId="100" priority="3" operator="lessThan">
      <formula>0</formula>
    </cfRule>
  </conditionalFormatting>
  <conditionalFormatting sqref="J38:J52">
    <cfRule type="cellIs" dxfId="99" priority="2" operator="lessThan">
      <formula>0</formula>
    </cfRule>
  </conditionalFormatting>
  <conditionalFormatting sqref="J56:J70">
    <cfRule type="cellIs" dxfId="98" priority="1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/>
  </sheetPr>
  <dimension ref="A1:X48"/>
  <sheetViews>
    <sheetView workbookViewId="0">
      <selection activeCell="B9" sqref="B9"/>
    </sheetView>
  </sheetViews>
  <sheetFormatPr defaultRowHeight="14.4" x14ac:dyDescent="0.3"/>
  <cols>
    <col min="1" max="1" width="29.77734375" bestFit="1" customWidth="1"/>
    <col min="2" max="9" width="11.77734375" customWidth="1"/>
    <col min="10" max="10" width="9.44140625" customWidth="1"/>
    <col min="11" max="14" width="11.77734375" customWidth="1"/>
    <col min="15" max="15" width="10" customWidth="1"/>
    <col min="16" max="16" width="3.77734375" customWidth="1"/>
    <col min="17" max="23" width="14.44140625" customWidth="1"/>
    <col min="24" max="24" width="3.77734375" customWidth="1"/>
  </cols>
  <sheetData>
    <row r="1" spans="1:24" ht="24.6" thickTop="1" thickBot="1" x14ac:dyDescent="0.5">
      <c r="A1" s="38" t="s">
        <v>30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38" t="str">
        <f>CompanyName &amp;" Projected Expenses Chart"</f>
        <v>WorkHorse Projected Expenses Chart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"Expenses ("&amp;SubHeader&amp;")"</f>
        <v>Expenses (USD)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ht="15" customHeight="1" x14ac:dyDescent="0.3">
      <c r="A4" s="27"/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ht="19.8" x14ac:dyDescent="0.4">
      <c r="A5" s="41" t="s">
        <v>170</v>
      </c>
      <c r="O5" s="32"/>
      <c r="P5" s="219"/>
      <c r="Q5" s="45"/>
      <c r="R5" s="45"/>
      <c r="S5" s="45"/>
      <c r="T5" s="45"/>
      <c r="U5" s="45"/>
      <c r="V5" s="45"/>
      <c r="W5" s="45"/>
      <c r="X5" s="220"/>
    </row>
    <row r="6" spans="1:24" ht="15" customHeight="1" x14ac:dyDescent="0.3">
      <c r="A6" s="36"/>
      <c r="B6" s="343" t="str">
        <f>A5&amp;" by Quarter (years 1 and 2)"</f>
        <v>Total Expenses by Quarter (years 1 and 2)</v>
      </c>
      <c r="C6" s="344"/>
      <c r="D6" s="344"/>
      <c r="E6" s="344"/>
      <c r="F6" s="344"/>
      <c r="G6" s="344"/>
      <c r="H6" s="344"/>
      <c r="I6" s="345"/>
      <c r="J6" s="243"/>
      <c r="K6" s="351" t="str">
        <f>"Annual "&amp;A5&amp;" (years 3 to 6)"</f>
        <v>Annual Total Expenses (years 3 to 6)</v>
      </c>
      <c r="L6" s="352"/>
      <c r="M6" s="352"/>
      <c r="N6" s="353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ht="15" customHeight="1" x14ac:dyDescent="0.3">
      <c r="A7" s="36"/>
      <c r="B7" s="346" t="s">
        <v>205</v>
      </c>
      <c r="C7" s="347"/>
      <c r="D7" s="347"/>
      <c r="E7" s="348"/>
      <c r="F7" s="349" t="s">
        <v>206</v>
      </c>
      <c r="G7" s="347"/>
      <c r="H7" s="347"/>
      <c r="I7" s="350"/>
      <c r="J7" s="243"/>
      <c r="K7" s="108" t="s">
        <v>145</v>
      </c>
      <c r="L7" s="109" t="s">
        <v>146</v>
      </c>
      <c r="M7" s="109" t="s">
        <v>147</v>
      </c>
      <c r="N7" s="110" t="s">
        <v>243</v>
      </c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ht="15" customHeight="1" x14ac:dyDescent="0.3">
      <c r="A8" s="59"/>
      <c r="B8" s="104">
        <f>StartDate</f>
        <v>43921</v>
      </c>
      <c r="C8" s="60">
        <f>EDATE(B8,3)</f>
        <v>44012</v>
      </c>
      <c r="D8" s="60">
        <f t="shared" ref="D8:I8" si="0">EDATE(C8,3)</f>
        <v>44104</v>
      </c>
      <c r="E8" s="60">
        <f t="shared" si="0"/>
        <v>44195</v>
      </c>
      <c r="F8" s="60">
        <f t="shared" si="0"/>
        <v>44285</v>
      </c>
      <c r="G8" s="60">
        <f t="shared" si="0"/>
        <v>44377</v>
      </c>
      <c r="H8" s="60">
        <f t="shared" si="0"/>
        <v>44469</v>
      </c>
      <c r="I8" s="100">
        <f t="shared" si="0"/>
        <v>44560</v>
      </c>
      <c r="J8" s="243"/>
      <c r="K8" s="104">
        <f>EDATE(I8,3)</f>
        <v>44650</v>
      </c>
      <c r="L8" s="60">
        <f t="shared" ref="L8:N8" si="1">EDATE(K8,12)</f>
        <v>45015</v>
      </c>
      <c r="M8" s="60">
        <f t="shared" si="1"/>
        <v>45381</v>
      </c>
      <c r="N8" s="107">
        <f t="shared" si="1"/>
        <v>45746</v>
      </c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5" customHeight="1" x14ac:dyDescent="0.3">
      <c r="A9" s="42" t="s">
        <v>48</v>
      </c>
      <c r="B9" s="120">
        <f>'Working Capital'!B19</f>
        <v>0</v>
      </c>
      <c r="C9" s="51">
        <f>'Working Capital'!C19</f>
        <v>0</v>
      </c>
      <c r="D9" s="51">
        <f>'Working Capital'!D19</f>
        <v>0</v>
      </c>
      <c r="E9" s="51">
        <f>'Working Capital'!E19</f>
        <v>0</v>
      </c>
      <c r="F9" s="51">
        <f>'Working Capital'!F19</f>
        <v>0</v>
      </c>
      <c r="G9" s="51">
        <f>'Working Capital'!G19</f>
        <v>0</v>
      </c>
      <c r="H9" s="51">
        <f>'Working Capital'!H19</f>
        <v>0</v>
      </c>
      <c r="I9" s="121">
        <f>'Working Capital'!I19</f>
        <v>0</v>
      </c>
      <c r="J9" s="243"/>
      <c r="K9" s="120">
        <f>'Working Capital'!K19</f>
        <v>0</v>
      </c>
      <c r="L9" s="51">
        <f>'Working Capital'!L19</f>
        <v>0</v>
      </c>
      <c r="M9" s="51">
        <f>'Working Capital'!M19</f>
        <v>0</v>
      </c>
      <c r="N9" s="121">
        <f>'Working Capital'!N19</f>
        <v>0</v>
      </c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ht="15" customHeight="1" x14ac:dyDescent="0.3">
      <c r="A10" s="42" t="s">
        <v>277</v>
      </c>
      <c r="B10" s="120">
        <f>Payroll!B49+'Other Operating Expenses'!B27</f>
        <v>0</v>
      </c>
      <c r="C10" s="51">
        <f>Payroll!C49+'Other Operating Expenses'!C27</f>
        <v>0</v>
      </c>
      <c r="D10" s="51">
        <f>Payroll!D49+'Other Operating Expenses'!D27</f>
        <v>0</v>
      </c>
      <c r="E10" s="51">
        <f>Payroll!E49+'Other Operating Expenses'!E27</f>
        <v>0</v>
      </c>
      <c r="F10" s="51">
        <f>Payroll!F49+'Other Operating Expenses'!F27</f>
        <v>0</v>
      </c>
      <c r="G10" s="51">
        <f>Payroll!G49+'Other Operating Expenses'!G27</f>
        <v>0</v>
      </c>
      <c r="H10" s="51">
        <f>Payroll!H49+'Other Operating Expenses'!H27</f>
        <v>0</v>
      </c>
      <c r="I10" s="121">
        <f>Payroll!I49+'Other Operating Expenses'!I27</f>
        <v>0</v>
      </c>
      <c r="J10" s="243"/>
      <c r="K10" s="120">
        <f>Payroll!K49+'Other Operating Expenses'!K27</f>
        <v>0</v>
      </c>
      <c r="L10" s="51">
        <f>Payroll!L49+'Other Operating Expenses'!L27</f>
        <v>0</v>
      </c>
      <c r="M10" s="51">
        <f>Payroll!M49+'Other Operating Expenses'!M27</f>
        <v>0</v>
      </c>
      <c r="N10" s="121">
        <f>Payroll!N49+'Other Operating Expenses'!N27</f>
        <v>0</v>
      </c>
      <c r="O10" s="32"/>
      <c r="P10" s="217"/>
      <c r="Q10" s="27"/>
      <c r="R10" s="27"/>
      <c r="S10" s="27"/>
      <c r="T10" s="27"/>
      <c r="U10" s="27"/>
      <c r="V10" s="27"/>
      <c r="W10" s="27"/>
      <c r="X10" s="164"/>
    </row>
    <row r="11" spans="1:24" ht="15" customHeight="1" thickBot="1" x14ac:dyDescent="0.35">
      <c r="A11" s="43" t="s">
        <v>254</v>
      </c>
      <c r="B11" s="122">
        <f>'Capital Expenditures'!B34</f>
        <v>0</v>
      </c>
      <c r="C11" s="52">
        <f>'Capital Expenditures'!C34</f>
        <v>0</v>
      </c>
      <c r="D11" s="52">
        <f>'Capital Expenditures'!D34</f>
        <v>0</v>
      </c>
      <c r="E11" s="52">
        <f>'Capital Expenditures'!E34</f>
        <v>0</v>
      </c>
      <c r="F11" s="52">
        <f>'Capital Expenditures'!F34</f>
        <v>0</v>
      </c>
      <c r="G11" s="52">
        <f>'Capital Expenditures'!G34</f>
        <v>0</v>
      </c>
      <c r="H11" s="52">
        <f>'Capital Expenditures'!H34</f>
        <v>0</v>
      </c>
      <c r="I11" s="123">
        <f>'Capital Expenditures'!I34</f>
        <v>0</v>
      </c>
      <c r="J11" s="243"/>
      <c r="K11" s="122">
        <f>'Capital Expenditures'!K34</f>
        <v>0</v>
      </c>
      <c r="L11" s="52">
        <f>'Capital Expenditures'!L34</f>
        <v>0</v>
      </c>
      <c r="M11" s="52">
        <f>'Capital Expenditures'!M34</f>
        <v>0</v>
      </c>
      <c r="N11" s="123">
        <f>'Capital Expenditures'!N34</f>
        <v>0</v>
      </c>
      <c r="O11" s="32"/>
      <c r="P11" s="217"/>
      <c r="Q11" s="27"/>
      <c r="R11" s="27"/>
      <c r="S11" s="27"/>
      <c r="T11" s="27"/>
      <c r="U11" s="27"/>
      <c r="V11" s="27"/>
      <c r="W11" s="27"/>
      <c r="X11" s="164"/>
    </row>
    <row r="12" spans="1:24" ht="15" customHeight="1" thickTop="1" x14ac:dyDescent="0.3">
      <c r="A12" s="44" t="s">
        <v>13</v>
      </c>
      <c r="B12" s="124">
        <f t="shared" ref="B12:I12" si="2">SUM(B9:B11)</f>
        <v>0</v>
      </c>
      <c r="C12" s="53">
        <f t="shared" si="2"/>
        <v>0</v>
      </c>
      <c r="D12" s="53">
        <f t="shared" si="2"/>
        <v>0</v>
      </c>
      <c r="E12" s="53">
        <f t="shared" si="2"/>
        <v>0</v>
      </c>
      <c r="F12" s="53">
        <f t="shared" si="2"/>
        <v>0</v>
      </c>
      <c r="G12" s="53">
        <f t="shared" si="2"/>
        <v>0</v>
      </c>
      <c r="H12" s="53">
        <f t="shared" si="2"/>
        <v>0</v>
      </c>
      <c r="I12" s="103">
        <f t="shared" si="2"/>
        <v>0</v>
      </c>
      <c r="J12" s="243"/>
      <c r="K12" s="124">
        <f>SUM(K9:K11)</f>
        <v>0</v>
      </c>
      <c r="L12" s="53">
        <f>SUM(L9:L11)</f>
        <v>0</v>
      </c>
      <c r="M12" s="53">
        <f>SUM(M9:M11)</f>
        <v>0</v>
      </c>
      <c r="N12" s="103">
        <f>SUM(N9:N11)</f>
        <v>0</v>
      </c>
      <c r="O12" s="32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ht="15" customHeight="1" x14ac:dyDescent="0.3">
      <c r="A13" s="27"/>
      <c r="B13" s="28"/>
      <c r="C13" s="34"/>
      <c r="D13" s="34"/>
      <c r="E13" s="34"/>
      <c r="F13" s="34"/>
      <c r="G13" s="34"/>
      <c r="H13" s="35"/>
      <c r="I13" s="35"/>
      <c r="J13" s="35"/>
      <c r="K13" s="35"/>
      <c r="L13" s="35"/>
      <c r="M13" s="35"/>
      <c r="N13" s="35"/>
      <c r="O13" s="32"/>
      <c r="P13" s="217"/>
      <c r="Q13" s="27"/>
      <c r="R13" s="27"/>
      <c r="S13" s="27"/>
      <c r="T13" s="27"/>
      <c r="U13" s="27"/>
      <c r="V13" s="27"/>
      <c r="W13" s="27"/>
      <c r="X13" s="164"/>
    </row>
    <row r="14" spans="1:24" ht="15" customHeight="1" x14ac:dyDescent="0.3">
      <c r="A14" s="27"/>
      <c r="B14" s="28"/>
      <c r="C14" s="34"/>
      <c r="D14" s="34"/>
      <c r="E14" s="34"/>
      <c r="F14" s="34"/>
      <c r="G14" s="34"/>
      <c r="H14" s="35"/>
      <c r="I14" s="35"/>
      <c r="J14" s="35"/>
      <c r="K14" s="35"/>
      <c r="L14" s="35"/>
      <c r="M14" s="35"/>
      <c r="N14" s="35"/>
      <c r="O14" s="32"/>
      <c r="P14" s="163"/>
      <c r="Q14" s="27"/>
      <c r="R14" s="27"/>
      <c r="S14" s="27"/>
      <c r="T14" s="27"/>
      <c r="U14" s="27"/>
      <c r="V14" s="27"/>
      <c r="W14" s="27"/>
      <c r="X14" s="164"/>
    </row>
    <row r="15" spans="1:24" x14ac:dyDescent="0.3">
      <c r="P15" s="163"/>
      <c r="Q15" s="27"/>
      <c r="R15" s="27"/>
      <c r="S15" s="27"/>
      <c r="T15" s="27"/>
      <c r="U15" s="27"/>
      <c r="V15" s="27"/>
      <c r="W15" s="27"/>
      <c r="X15" s="164"/>
    </row>
    <row r="16" spans="1:24" x14ac:dyDescent="0.3">
      <c r="O16" s="32"/>
      <c r="P16" s="163"/>
      <c r="Q16" s="27"/>
      <c r="R16" s="27"/>
      <c r="S16" s="27"/>
      <c r="T16" s="27"/>
      <c r="U16" s="27"/>
      <c r="V16" s="27"/>
      <c r="W16" s="27"/>
      <c r="X16" s="164"/>
    </row>
    <row r="17" spans="1:24" s="61" customFormat="1" x14ac:dyDescent="0.3">
      <c r="P17" s="163"/>
      <c r="Q17" s="27"/>
      <c r="R17" s="27"/>
      <c r="S17" s="27"/>
      <c r="T17" s="27"/>
      <c r="U17" s="27"/>
      <c r="V17" s="27"/>
      <c r="W17" s="27"/>
      <c r="X17" s="164"/>
    </row>
    <row r="18" spans="1:24" ht="15" thickBot="1" x14ac:dyDescent="0.35">
      <c r="P18" s="125"/>
      <c r="Q18" s="126"/>
      <c r="R18" s="126"/>
      <c r="S18" s="126"/>
      <c r="T18" s="126"/>
      <c r="U18" s="126"/>
      <c r="V18" s="126"/>
      <c r="W18" s="126"/>
      <c r="X18" s="127"/>
    </row>
    <row r="19" spans="1:24" ht="15" thickTop="1" x14ac:dyDescent="0.3">
      <c r="P19" s="221"/>
      <c r="Q19" s="222"/>
      <c r="R19" s="222"/>
      <c r="S19" s="222"/>
      <c r="T19" s="222"/>
      <c r="U19" s="222"/>
      <c r="V19" s="222"/>
      <c r="W19" s="222"/>
      <c r="X19" s="216"/>
    </row>
    <row r="20" spans="1:24" ht="17.399999999999999" x14ac:dyDescent="0.35">
      <c r="P20" s="163"/>
      <c r="Q20" s="218" t="s">
        <v>211</v>
      </c>
      <c r="R20" s="27"/>
      <c r="S20" s="27"/>
      <c r="T20" s="27"/>
      <c r="U20" s="27"/>
      <c r="V20" s="27"/>
      <c r="W20" s="27"/>
      <c r="X20" s="164"/>
    </row>
    <row r="21" spans="1:24" s="29" customFormat="1" x14ac:dyDescent="0.3">
      <c r="P21" s="163"/>
      <c r="Q21"/>
      <c r="R21"/>
      <c r="S21"/>
      <c r="T21"/>
      <c r="U21"/>
      <c r="V21"/>
      <c r="W21"/>
      <c r="X21" s="164"/>
    </row>
    <row r="22" spans="1:24" x14ac:dyDescent="0.3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P22" s="163"/>
      <c r="R22" s="351" t="s">
        <v>212</v>
      </c>
      <c r="S22" s="352"/>
      <c r="T22" s="352"/>
      <c r="U22" s="352"/>
      <c r="V22" s="352"/>
      <c r="W22" s="353"/>
      <c r="X22" s="164"/>
    </row>
    <row r="23" spans="1:24" x14ac:dyDescent="0.3">
      <c r="P23" s="163"/>
      <c r="R23" s="108" t="s">
        <v>205</v>
      </c>
      <c r="S23" s="109" t="s">
        <v>206</v>
      </c>
      <c r="T23" s="109" t="s">
        <v>145</v>
      </c>
      <c r="U23" s="109" t="s">
        <v>146</v>
      </c>
      <c r="V23" s="109" t="s">
        <v>147</v>
      </c>
      <c r="W23" s="110" t="s">
        <v>243</v>
      </c>
      <c r="X23" s="164"/>
    </row>
    <row r="24" spans="1:24" x14ac:dyDescent="0.3">
      <c r="P24" s="163"/>
      <c r="R24" s="104">
        <f>B8</f>
        <v>43921</v>
      </c>
      <c r="S24" s="60">
        <f>F8</f>
        <v>44285</v>
      </c>
      <c r="T24" s="60">
        <f t="shared" ref="T24:W27" si="3">K8</f>
        <v>44650</v>
      </c>
      <c r="U24" s="60">
        <f t="shared" si="3"/>
        <v>45015</v>
      </c>
      <c r="V24" s="60">
        <f t="shared" si="3"/>
        <v>45381</v>
      </c>
      <c r="W24" s="107">
        <f t="shared" si="3"/>
        <v>45746</v>
      </c>
      <c r="X24" s="164"/>
    </row>
    <row r="25" spans="1:24" x14ac:dyDescent="0.3">
      <c r="P25" s="163"/>
      <c r="Q25" s="212" t="str">
        <f>A9</f>
        <v>COGS</v>
      </c>
      <c r="R25" s="105">
        <f>SUM(B9:E9)</f>
        <v>0</v>
      </c>
      <c r="S25" s="98">
        <f>SUM(F9:I9)</f>
        <v>0</v>
      </c>
      <c r="T25" s="98">
        <f t="shared" si="3"/>
        <v>0</v>
      </c>
      <c r="U25" s="98">
        <f t="shared" si="3"/>
        <v>0</v>
      </c>
      <c r="V25" s="98">
        <f t="shared" si="3"/>
        <v>0</v>
      </c>
      <c r="W25" s="101">
        <f t="shared" si="3"/>
        <v>0</v>
      </c>
      <c r="X25" s="164"/>
    </row>
    <row r="26" spans="1:24" x14ac:dyDescent="0.3">
      <c r="P26" s="163"/>
      <c r="Q26" s="212" t="str">
        <f>A10</f>
        <v>Operating Expenses (incl. payroll)</v>
      </c>
      <c r="R26" s="105">
        <f>SUM(B10:E10)</f>
        <v>0</v>
      </c>
      <c r="S26" s="98">
        <f>SUM(F10:I10)</f>
        <v>0</v>
      </c>
      <c r="T26" s="98">
        <f t="shared" si="3"/>
        <v>0</v>
      </c>
      <c r="U26" s="98">
        <f t="shared" si="3"/>
        <v>0</v>
      </c>
      <c r="V26" s="98">
        <f t="shared" si="3"/>
        <v>0</v>
      </c>
      <c r="W26" s="101">
        <f t="shared" si="3"/>
        <v>0</v>
      </c>
      <c r="X26" s="164"/>
    </row>
    <row r="27" spans="1:24" ht="15" thickBot="1" x14ac:dyDescent="0.35">
      <c r="P27" s="163"/>
      <c r="Q27" s="212" t="str">
        <f>A11</f>
        <v>Depreciation and Amortization</v>
      </c>
      <c r="R27" s="106">
        <f>SUM(B11:E11)</f>
        <v>0</v>
      </c>
      <c r="S27" s="99">
        <f>SUM(F11:I11)</f>
        <v>0</v>
      </c>
      <c r="T27" s="99">
        <f t="shared" si="3"/>
        <v>0</v>
      </c>
      <c r="U27" s="99">
        <f t="shared" si="3"/>
        <v>0</v>
      </c>
      <c r="V27" s="99">
        <f t="shared" si="3"/>
        <v>0</v>
      </c>
      <c r="W27" s="102">
        <f t="shared" si="3"/>
        <v>0</v>
      </c>
      <c r="X27" s="164"/>
    </row>
    <row r="28" spans="1:24" ht="15" thickTop="1" x14ac:dyDescent="0.3">
      <c r="P28" s="163"/>
      <c r="R28" s="86">
        <f t="shared" ref="R28:W28" si="4">SUM(R25:R27)</f>
        <v>0</v>
      </c>
      <c r="S28" s="86">
        <f t="shared" si="4"/>
        <v>0</v>
      </c>
      <c r="T28" s="86">
        <f t="shared" si="4"/>
        <v>0</v>
      </c>
      <c r="U28" s="86">
        <f t="shared" si="4"/>
        <v>0</v>
      </c>
      <c r="V28" s="86">
        <f t="shared" si="4"/>
        <v>0</v>
      </c>
      <c r="W28" s="86">
        <f t="shared" si="4"/>
        <v>0</v>
      </c>
      <c r="X28" s="164"/>
    </row>
    <row r="29" spans="1:24" x14ac:dyDescent="0.3">
      <c r="P29" s="163"/>
      <c r="Q29" s="27"/>
      <c r="R29" s="27"/>
      <c r="S29" s="27"/>
      <c r="T29" s="27"/>
      <c r="U29" s="27"/>
      <c r="V29" s="27"/>
      <c r="W29" s="27"/>
      <c r="X29" s="164"/>
    </row>
    <row r="30" spans="1:24" x14ac:dyDescent="0.3">
      <c r="P30" s="163"/>
      <c r="Q30" s="27"/>
      <c r="R30" s="27"/>
      <c r="S30" s="27"/>
      <c r="T30" s="27"/>
      <c r="U30" s="27"/>
      <c r="V30" s="27"/>
      <c r="W30" s="27"/>
      <c r="X30" s="164"/>
    </row>
    <row r="31" spans="1:24" x14ac:dyDescent="0.3">
      <c r="P31" s="163"/>
      <c r="Q31" s="27"/>
      <c r="R31" s="27"/>
      <c r="S31" s="27"/>
      <c r="T31" s="27"/>
      <c r="U31" s="27"/>
      <c r="V31" s="27"/>
      <c r="W31" s="27"/>
      <c r="X31" s="164"/>
    </row>
    <row r="32" spans="1:24" x14ac:dyDescent="0.3">
      <c r="P32" s="163"/>
      <c r="Q32" s="27"/>
      <c r="R32" s="27"/>
      <c r="S32" s="27"/>
      <c r="T32" s="27"/>
      <c r="U32" s="27"/>
      <c r="V32" s="27"/>
      <c r="W32" s="27"/>
      <c r="X32" s="164"/>
    </row>
    <row r="33" spans="16:24" x14ac:dyDescent="0.3">
      <c r="P33" s="163"/>
      <c r="Q33" s="27"/>
      <c r="R33" s="27"/>
      <c r="S33" s="27"/>
      <c r="T33" s="27"/>
      <c r="U33" s="27"/>
      <c r="V33" s="27"/>
      <c r="W33" s="27"/>
      <c r="X33" s="164"/>
    </row>
    <row r="34" spans="16:24" x14ac:dyDescent="0.3">
      <c r="P34" s="163"/>
      <c r="Q34" s="27"/>
      <c r="R34" s="27"/>
      <c r="S34" s="27"/>
      <c r="T34" s="27"/>
      <c r="U34" s="27"/>
      <c r="V34" s="27"/>
      <c r="W34" s="27"/>
      <c r="X34" s="164"/>
    </row>
    <row r="35" spans="16:24" x14ac:dyDescent="0.3">
      <c r="P35" s="163"/>
      <c r="Q35" s="27"/>
      <c r="R35" s="27"/>
      <c r="S35" s="27"/>
      <c r="T35" s="27"/>
      <c r="U35" s="27"/>
      <c r="V35" s="27"/>
      <c r="W35" s="27"/>
      <c r="X35" s="164"/>
    </row>
    <row r="36" spans="16:24" x14ac:dyDescent="0.3">
      <c r="P36" s="163"/>
      <c r="Q36" s="27"/>
      <c r="R36" s="27"/>
      <c r="S36" s="27"/>
      <c r="T36" s="27"/>
      <c r="U36" s="27"/>
      <c r="V36" s="27"/>
      <c r="W36" s="27"/>
      <c r="X36" s="164"/>
    </row>
    <row r="37" spans="16:24" x14ac:dyDescent="0.3">
      <c r="P37" s="163"/>
      <c r="Q37" s="27"/>
      <c r="R37" s="27"/>
      <c r="S37" s="27"/>
      <c r="T37" s="27"/>
      <c r="U37" s="27"/>
      <c r="V37" s="27"/>
      <c r="W37" s="27"/>
      <c r="X37" s="164"/>
    </row>
    <row r="38" spans="16:24" x14ac:dyDescent="0.3">
      <c r="P38" s="163"/>
      <c r="Q38" s="27"/>
      <c r="R38" s="27"/>
      <c r="S38" s="27"/>
      <c r="T38" s="27"/>
      <c r="U38" s="27"/>
      <c r="V38" s="27"/>
      <c r="W38" s="27"/>
      <c r="X38" s="164"/>
    </row>
    <row r="39" spans="16:24" x14ac:dyDescent="0.3">
      <c r="P39" s="163"/>
      <c r="Q39" s="27"/>
      <c r="R39" s="27"/>
      <c r="S39" s="27"/>
      <c r="T39" s="27"/>
      <c r="U39" s="27"/>
      <c r="V39" s="27"/>
      <c r="W39" s="27"/>
      <c r="X39" s="164"/>
    </row>
    <row r="40" spans="16:24" x14ac:dyDescent="0.3">
      <c r="P40" s="163"/>
      <c r="Q40" s="27"/>
      <c r="R40" s="27"/>
      <c r="S40" s="27"/>
      <c r="T40" s="27"/>
      <c r="U40" s="27"/>
      <c r="V40" s="27"/>
      <c r="W40" s="27"/>
      <c r="X40" s="164"/>
    </row>
    <row r="41" spans="16:24" x14ac:dyDescent="0.3">
      <c r="P41" s="163"/>
      <c r="Q41" s="27"/>
      <c r="R41" s="27"/>
      <c r="S41" s="27"/>
      <c r="T41" s="27"/>
      <c r="U41" s="27"/>
      <c r="V41" s="27"/>
      <c r="W41" s="27"/>
      <c r="X41" s="164"/>
    </row>
    <row r="42" spans="16:24" x14ac:dyDescent="0.3">
      <c r="P42" s="163"/>
      <c r="Q42" s="27"/>
      <c r="R42" s="27"/>
      <c r="S42" s="27"/>
      <c r="T42" s="27"/>
      <c r="U42" s="27"/>
      <c r="V42" s="27"/>
      <c r="W42" s="27"/>
      <c r="X42" s="164"/>
    </row>
    <row r="43" spans="16:24" x14ac:dyDescent="0.3">
      <c r="P43" s="163"/>
      <c r="Q43" s="27"/>
      <c r="R43" s="27"/>
      <c r="S43" s="27"/>
      <c r="T43" s="27"/>
      <c r="U43" s="27"/>
      <c r="V43" s="27"/>
      <c r="W43" s="27"/>
      <c r="X43" s="164"/>
    </row>
    <row r="44" spans="16:24" x14ac:dyDescent="0.3">
      <c r="P44" s="163"/>
      <c r="Q44" s="27"/>
      <c r="R44" s="27"/>
      <c r="S44" s="27"/>
      <c r="T44" s="27"/>
      <c r="U44" s="27"/>
      <c r="V44" s="27"/>
      <c r="W44" s="27"/>
      <c r="X44" s="164"/>
    </row>
    <row r="45" spans="16:24" x14ac:dyDescent="0.3">
      <c r="P45" s="163"/>
      <c r="Q45" s="27"/>
      <c r="R45" s="27"/>
      <c r="S45" s="27"/>
      <c r="T45" s="27"/>
      <c r="U45" s="27"/>
      <c r="V45" s="27"/>
      <c r="W45" s="27"/>
      <c r="X45" s="164"/>
    </row>
    <row r="46" spans="16:24" x14ac:dyDescent="0.3">
      <c r="P46" s="163"/>
      <c r="Q46" s="27"/>
      <c r="R46" s="27"/>
      <c r="S46" s="27"/>
      <c r="T46" s="27"/>
      <c r="U46" s="27"/>
      <c r="V46" s="27"/>
      <c r="W46" s="27"/>
      <c r="X46" s="164"/>
    </row>
    <row r="47" spans="16:24" ht="15" thickBot="1" x14ac:dyDescent="0.35">
      <c r="P47" s="125"/>
      <c r="Q47" s="126"/>
      <c r="R47" s="126"/>
      <c r="S47" s="126"/>
      <c r="T47" s="126"/>
      <c r="U47" s="126"/>
      <c r="V47" s="126"/>
      <c r="W47" s="126"/>
      <c r="X47" s="127"/>
    </row>
    <row r="48" spans="16:24" ht="15" thickTop="1" x14ac:dyDescent="0.3"/>
  </sheetData>
  <mergeCells count="5">
    <mergeCell ref="B6:I6"/>
    <mergeCell ref="K6:N6"/>
    <mergeCell ref="B7:E7"/>
    <mergeCell ref="F7:I7"/>
    <mergeCell ref="R22:W2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54"/>
  <sheetViews>
    <sheetView workbookViewId="0">
      <selection activeCell="B39" sqref="B39"/>
    </sheetView>
  </sheetViews>
  <sheetFormatPr defaultRowHeight="14.4" x14ac:dyDescent="0.3"/>
  <cols>
    <col min="1" max="1" width="41.44140625" bestFit="1" customWidth="1"/>
    <col min="2" max="2" width="13.44140625" customWidth="1"/>
    <col min="3" max="9" width="12.5546875" customWidth="1"/>
    <col min="10" max="10" width="9.44140625" customWidth="1"/>
    <col min="11" max="14" width="12.5546875" customWidth="1"/>
    <col min="15" max="15" width="10" customWidth="1"/>
  </cols>
  <sheetData>
    <row r="1" spans="1:15" ht="24" thickBot="1" x14ac:dyDescent="0.5">
      <c r="A1" s="38" t="s">
        <v>190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</row>
    <row r="2" spans="1:15" ht="15" thickTop="1" x14ac:dyDescent="0.3">
      <c r="A2" s="36" t="str">
        <f>"Working Capital ("&amp;SubHeader&amp;")"</f>
        <v>Working Capital (USD)</v>
      </c>
      <c r="B2" s="97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3">
      <c r="A3" s="27"/>
      <c r="B3" s="97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</row>
    <row r="4" spans="1:15" ht="19.8" x14ac:dyDescent="0.4">
      <c r="A4" s="37" t="s">
        <v>191</v>
      </c>
      <c r="B4" s="28"/>
    </row>
    <row r="5" spans="1:15" ht="14.1" customHeight="1" x14ac:dyDescent="0.3">
      <c r="A5" s="27" t="s">
        <v>192</v>
      </c>
      <c r="B5" s="111" t="s">
        <v>49</v>
      </c>
    </row>
    <row r="6" spans="1:15" ht="14.1" customHeight="1" x14ac:dyDescent="0.4">
      <c r="A6" s="41"/>
    </row>
    <row r="7" spans="1:15" ht="14.1" customHeight="1" x14ac:dyDescent="0.4">
      <c r="A7" s="41"/>
    </row>
    <row r="8" spans="1:15" ht="19.8" x14ac:dyDescent="0.4">
      <c r="A8" s="37" t="s">
        <v>197</v>
      </c>
    </row>
    <row r="9" spans="1:15" x14ac:dyDescent="0.3">
      <c r="A9" s="27"/>
      <c r="B9" s="343" t="s">
        <v>193</v>
      </c>
      <c r="C9" s="344"/>
      <c r="D9" s="344"/>
      <c r="E9" s="344"/>
      <c r="F9" s="344"/>
      <c r="G9" s="344"/>
      <c r="H9" s="344"/>
      <c r="I9" s="345"/>
      <c r="J9" s="243"/>
      <c r="K9" s="351" t="s">
        <v>194</v>
      </c>
      <c r="L9" s="352"/>
      <c r="M9" s="352"/>
      <c r="N9" s="353"/>
    </row>
    <row r="10" spans="1:15" x14ac:dyDescent="0.3">
      <c r="A10" s="27"/>
      <c r="B10" s="346" t="s">
        <v>205</v>
      </c>
      <c r="C10" s="347"/>
      <c r="D10" s="347"/>
      <c r="E10" s="348"/>
      <c r="F10" s="349" t="s">
        <v>206</v>
      </c>
      <c r="G10" s="347"/>
      <c r="H10" s="347"/>
      <c r="I10" s="350"/>
      <c r="J10" s="243"/>
      <c r="K10" s="108" t="s">
        <v>145</v>
      </c>
      <c r="L10" s="109" t="s">
        <v>146</v>
      </c>
      <c r="M10" s="109" t="s">
        <v>147</v>
      </c>
      <c r="N10" s="110" t="s">
        <v>243</v>
      </c>
    </row>
    <row r="11" spans="1:15" ht="15" thickBot="1" x14ac:dyDescent="0.35">
      <c r="A11" s="126"/>
      <c r="B11" s="189">
        <f>StartDate</f>
        <v>43921</v>
      </c>
      <c r="C11" s="190">
        <f>EDATE(B11,3)</f>
        <v>44012</v>
      </c>
      <c r="D11" s="190">
        <f t="shared" ref="D11" si="0">EDATE(C11,3)</f>
        <v>44104</v>
      </c>
      <c r="E11" s="190">
        <f t="shared" ref="E11" si="1">EDATE(D11,3)</f>
        <v>44195</v>
      </c>
      <c r="F11" s="190">
        <f t="shared" ref="F11" si="2">EDATE(E11,3)</f>
        <v>44285</v>
      </c>
      <c r="G11" s="190">
        <f t="shared" ref="G11" si="3">EDATE(F11,3)</f>
        <v>44377</v>
      </c>
      <c r="H11" s="190">
        <f t="shared" ref="H11" si="4">EDATE(G11,3)</f>
        <v>44469</v>
      </c>
      <c r="I11" s="191">
        <f t="shared" ref="I11" si="5">EDATE(H11,3)</f>
        <v>44560</v>
      </c>
      <c r="J11" s="243"/>
      <c r="K11" s="189">
        <f>EDATE(I11,3)</f>
        <v>44650</v>
      </c>
      <c r="L11" s="190">
        <f t="shared" ref="L11" si="6">EDATE(K11,12)</f>
        <v>45015</v>
      </c>
      <c r="M11" s="190">
        <f t="shared" ref="M11" si="7">EDATE(L11,12)</f>
        <v>45381</v>
      </c>
      <c r="N11" s="192">
        <f t="shared" ref="N11" si="8">EDATE(M11,12)</f>
        <v>45746</v>
      </c>
    </row>
    <row r="12" spans="1:15" ht="15" thickTop="1" x14ac:dyDescent="0.3">
      <c r="A12" s="198" t="s">
        <v>191</v>
      </c>
      <c r="B12" s="199"/>
      <c r="C12" s="200"/>
      <c r="D12" s="200"/>
      <c r="E12" s="200"/>
      <c r="F12" s="200"/>
      <c r="G12" s="200"/>
      <c r="H12" s="200"/>
      <c r="I12" s="201"/>
      <c r="J12" s="243"/>
      <c r="K12" s="199"/>
      <c r="L12" s="200"/>
      <c r="M12" s="200"/>
      <c r="N12" s="201"/>
    </row>
    <row r="13" spans="1:15" x14ac:dyDescent="0.3">
      <c r="A13" s="186" t="s">
        <v>279</v>
      </c>
      <c r="B13" s="334"/>
      <c r="C13" s="335"/>
      <c r="D13" s="335"/>
      <c r="E13" s="335"/>
      <c r="F13" s="335">
        <v>0</v>
      </c>
      <c r="G13" s="335">
        <f t="shared" ref="G13:N13" si="9">F13</f>
        <v>0</v>
      </c>
      <c r="H13" s="335">
        <f t="shared" si="9"/>
        <v>0</v>
      </c>
      <c r="I13" s="336">
        <f t="shared" si="9"/>
        <v>0</v>
      </c>
      <c r="J13" s="243"/>
      <c r="K13" s="334">
        <v>0</v>
      </c>
      <c r="L13" s="335">
        <f t="shared" si="9"/>
        <v>0</v>
      </c>
      <c r="M13" s="335">
        <f t="shared" si="9"/>
        <v>0</v>
      </c>
      <c r="N13" s="336">
        <f t="shared" si="9"/>
        <v>0</v>
      </c>
    </row>
    <row r="14" spans="1:15" x14ac:dyDescent="0.3">
      <c r="A14" s="186" t="s">
        <v>187</v>
      </c>
      <c r="B14" s="334"/>
      <c r="C14" s="335"/>
      <c r="D14" s="335"/>
      <c r="E14" s="335"/>
      <c r="F14" s="335">
        <v>0</v>
      </c>
      <c r="G14" s="335">
        <f t="shared" ref="G14:N14" si="10">F14</f>
        <v>0</v>
      </c>
      <c r="H14" s="335">
        <f t="shared" si="10"/>
        <v>0</v>
      </c>
      <c r="I14" s="336">
        <f t="shared" si="10"/>
        <v>0</v>
      </c>
      <c r="J14" s="243"/>
      <c r="K14" s="334">
        <v>0</v>
      </c>
      <c r="L14" s="335">
        <f t="shared" si="10"/>
        <v>0</v>
      </c>
      <c r="M14" s="335">
        <f t="shared" si="10"/>
        <v>0</v>
      </c>
      <c r="N14" s="336">
        <f t="shared" si="10"/>
        <v>0</v>
      </c>
    </row>
    <row r="15" spans="1:15" x14ac:dyDescent="0.3">
      <c r="A15" s="186" t="s">
        <v>188</v>
      </c>
      <c r="B15" s="334"/>
      <c r="C15" s="335"/>
      <c r="D15" s="335"/>
      <c r="E15" s="335"/>
      <c r="F15" s="335">
        <v>0</v>
      </c>
      <c r="G15" s="335">
        <f t="shared" ref="G15:N15" si="11">F15</f>
        <v>0</v>
      </c>
      <c r="H15" s="335">
        <f t="shared" si="11"/>
        <v>0</v>
      </c>
      <c r="I15" s="336">
        <f t="shared" si="11"/>
        <v>0</v>
      </c>
      <c r="J15" s="243"/>
      <c r="K15" s="334">
        <v>0</v>
      </c>
      <c r="L15" s="335">
        <f t="shared" si="11"/>
        <v>0</v>
      </c>
      <c r="M15" s="335">
        <f t="shared" si="11"/>
        <v>0</v>
      </c>
      <c r="N15" s="336">
        <f t="shared" si="11"/>
        <v>0</v>
      </c>
    </row>
    <row r="16" spans="1:15" x14ac:dyDescent="0.3">
      <c r="A16" s="186" t="s">
        <v>189</v>
      </c>
      <c r="B16" s="334"/>
      <c r="C16" s="335"/>
      <c r="D16" s="335"/>
      <c r="E16" s="335"/>
      <c r="F16" s="335">
        <v>0</v>
      </c>
      <c r="G16" s="335">
        <v>0</v>
      </c>
      <c r="H16" s="335">
        <v>0</v>
      </c>
      <c r="I16" s="336">
        <v>0</v>
      </c>
      <c r="J16" s="243"/>
      <c r="K16" s="334">
        <v>0</v>
      </c>
      <c r="L16" s="335">
        <v>0</v>
      </c>
      <c r="M16" s="335">
        <v>0</v>
      </c>
      <c r="N16" s="336">
        <v>0</v>
      </c>
    </row>
    <row r="17" spans="1:14" x14ac:dyDescent="0.3">
      <c r="A17" s="185" t="s">
        <v>196</v>
      </c>
      <c r="B17" s="165"/>
      <c r="C17" s="166"/>
      <c r="D17" s="166"/>
      <c r="E17" s="166"/>
      <c r="F17" s="166"/>
      <c r="G17" s="166"/>
      <c r="H17" s="166"/>
      <c r="I17" s="167"/>
      <c r="J17" s="243"/>
      <c r="K17" s="165"/>
      <c r="L17" s="166"/>
      <c r="M17" s="166"/>
      <c r="N17" s="167"/>
    </row>
    <row r="18" spans="1:14" x14ac:dyDescent="0.3">
      <c r="A18" s="186" t="s">
        <v>53</v>
      </c>
      <c r="B18" s="155">
        <f>Revenues!B19</f>
        <v>0</v>
      </c>
      <c r="C18" s="87">
        <f>Revenues!C19</f>
        <v>0</v>
      </c>
      <c r="D18" s="87">
        <f>Revenues!D19</f>
        <v>0</v>
      </c>
      <c r="E18" s="87">
        <f>Revenues!E19</f>
        <v>0</v>
      </c>
      <c r="F18" s="87">
        <f>Revenues!F19</f>
        <v>0</v>
      </c>
      <c r="G18" s="87">
        <f>Revenues!G19</f>
        <v>0</v>
      </c>
      <c r="H18" s="87">
        <f>Revenues!H19</f>
        <v>0</v>
      </c>
      <c r="I18" s="156">
        <f>Revenues!I19</f>
        <v>0</v>
      </c>
      <c r="J18" s="243"/>
      <c r="K18" s="155">
        <f>Revenues!K19</f>
        <v>0</v>
      </c>
      <c r="L18" s="87">
        <f>Revenues!L19</f>
        <v>0</v>
      </c>
      <c r="M18" s="87">
        <f>Revenues!M19</f>
        <v>0</v>
      </c>
      <c r="N18" s="156">
        <f>Revenues!N19</f>
        <v>0</v>
      </c>
    </row>
    <row r="19" spans="1:14" ht="15" thickBot="1" x14ac:dyDescent="0.35">
      <c r="A19" s="193" t="s">
        <v>182</v>
      </c>
      <c r="B19" s="194">
        <f>IF($B$5="Bottom-up",COGS!B52,COGS!B21)</f>
        <v>0</v>
      </c>
      <c r="C19" s="195">
        <f>IF($B$5="Bottom-up",COGS!C52,COGS!C21)</f>
        <v>0</v>
      </c>
      <c r="D19" s="195">
        <f>IF($B$5="Bottom-up",COGS!D52,COGS!D21)</f>
        <v>0</v>
      </c>
      <c r="E19" s="195">
        <f>IF($B$5="Bottom-up",COGS!E52,COGS!E21)</f>
        <v>0</v>
      </c>
      <c r="F19" s="195">
        <f>IF($B$5="Bottom-up",COGS!F52,COGS!F21)</f>
        <v>0</v>
      </c>
      <c r="G19" s="195">
        <f>IF($B$5="Bottom-up",COGS!G52,COGS!G21)</f>
        <v>0</v>
      </c>
      <c r="H19" s="195">
        <f>IF($B$5="Bottom-up",COGS!H52,COGS!H21)</f>
        <v>0</v>
      </c>
      <c r="I19" s="196">
        <f>IF($B$5="Bottom-up",COGS!I52,COGS!I21)</f>
        <v>0</v>
      </c>
      <c r="J19" s="243"/>
      <c r="K19" s="194">
        <f>IF($B$5="Bottom-up",COGS!K52,COGS!K21)</f>
        <v>0</v>
      </c>
      <c r="L19" s="195">
        <f>IF($B$5="Bottom-up",COGS!L52,COGS!L21)</f>
        <v>0</v>
      </c>
      <c r="M19" s="195">
        <f>IF($B$5="Bottom-up",COGS!M52,COGS!M21)</f>
        <v>0</v>
      </c>
      <c r="N19" s="196">
        <f>IF($B$5="Bottom-up",COGS!N52,COGS!N21)</f>
        <v>0</v>
      </c>
    </row>
    <row r="20" spans="1:14" ht="15" thickTop="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9.8" x14ac:dyDescent="0.4">
      <c r="A22" s="37" t="s">
        <v>180</v>
      </c>
    </row>
    <row r="23" spans="1:14" x14ac:dyDescent="0.3">
      <c r="A23" s="27"/>
      <c r="B23" s="343" t="s">
        <v>193</v>
      </c>
      <c r="C23" s="344"/>
      <c r="D23" s="344"/>
      <c r="E23" s="344"/>
      <c r="F23" s="344"/>
      <c r="G23" s="344"/>
      <c r="H23" s="344"/>
      <c r="I23" s="345"/>
      <c r="J23" s="243"/>
      <c r="K23" s="351" t="s">
        <v>194</v>
      </c>
      <c r="L23" s="352"/>
      <c r="M23" s="352"/>
      <c r="N23" s="353"/>
    </row>
    <row r="24" spans="1:14" x14ac:dyDescent="0.3">
      <c r="A24" s="27"/>
      <c r="B24" s="346" t="s">
        <v>205</v>
      </c>
      <c r="C24" s="347"/>
      <c r="D24" s="347"/>
      <c r="E24" s="348"/>
      <c r="F24" s="349" t="s">
        <v>206</v>
      </c>
      <c r="G24" s="347"/>
      <c r="H24" s="347"/>
      <c r="I24" s="350"/>
      <c r="J24" s="243"/>
      <c r="K24" s="108" t="s">
        <v>145</v>
      </c>
      <c r="L24" s="109" t="s">
        <v>146</v>
      </c>
      <c r="M24" s="109" t="s">
        <v>147</v>
      </c>
      <c r="N24" s="110" t="s">
        <v>243</v>
      </c>
    </row>
    <row r="25" spans="1:14" ht="15" thickBot="1" x14ac:dyDescent="0.35">
      <c r="A25" s="126"/>
      <c r="B25" s="189">
        <f>StartDate</f>
        <v>43921</v>
      </c>
      <c r="C25" s="190">
        <f>EDATE(B25,3)</f>
        <v>44012</v>
      </c>
      <c r="D25" s="190">
        <f t="shared" ref="D25" si="12">EDATE(C25,3)</f>
        <v>44104</v>
      </c>
      <c r="E25" s="190">
        <f t="shared" ref="E25" si="13">EDATE(D25,3)</f>
        <v>44195</v>
      </c>
      <c r="F25" s="190">
        <f t="shared" ref="F25" si="14">EDATE(E25,3)</f>
        <v>44285</v>
      </c>
      <c r="G25" s="190">
        <f t="shared" ref="G25" si="15">EDATE(F25,3)</f>
        <v>44377</v>
      </c>
      <c r="H25" s="190">
        <f t="shared" ref="H25" si="16">EDATE(G25,3)</f>
        <v>44469</v>
      </c>
      <c r="I25" s="191">
        <f t="shared" ref="I25" si="17">EDATE(H25,3)</f>
        <v>44560</v>
      </c>
      <c r="J25" s="243"/>
      <c r="K25" s="189">
        <f>EDATE(I25,3)</f>
        <v>44650</v>
      </c>
      <c r="L25" s="190">
        <f t="shared" ref="L25" si="18">EDATE(K25,12)</f>
        <v>45015</v>
      </c>
      <c r="M25" s="190">
        <f t="shared" ref="M25" si="19">EDATE(L25,12)</f>
        <v>45381</v>
      </c>
      <c r="N25" s="192">
        <f t="shared" ref="N25" si="20">EDATE(M25,12)</f>
        <v>45746</v>
      </c>
    </row>
    <row r="26" spans="1:14" ht="15" thickTop="1" x14ac:dyDescent="0.3">
      <c r="A26" s="185" t="s">
        <v>200</v>
      </c>
      <c r="B26" s="165"/>
      <c r="C26" s="166"/>
      <c r="D26" s="166"/>
      <c r="E26" s="166"/>
      <c r="F26" s="166"/>
      <c r="G26" s="166"/>
      <c r="H26" s="166"/>
      <c r="I26" s="167"/>
      <c r="J26" s="243"/>
      <c r="K26" s="165"/>
      <c r="L26" s="166"/>
      <c r="M26" s="166"/>
      <c r="N26" s="167"/>
    </row>
    <row r="27" spans="1:14" x14ac:dyDescent="0.3">
      <c r="A27" s="197" t="s">
        <v>195</v>
      </c>
      <c r="B27" s="155">
        <f t="shared" ref="B27:E27" si="21">B18*B13/(365/4)</f>
        <v>0</v>
      </c>
      <c r="C27" s="87">
        <f t="shared" si="21"/>
        <v>0</v>
      </c>
      <c r="D27" s="87">
        <f t="shared" si="21"/>
        <v>0</v>
      </c>
      <c r="E27" s="87">
        <f t="shared" si="21"/>
        <v>0</v>
      </c>
      <c r="F27" s="87">
        <f>F18*F13/(365/4)</f>
        <v>0</v>
      </c>
      <c r="G27" s="87">
        <f t="shared" ref="G27:I27" si="22">G18*G13/(365/4)</f>
        <v>0</v>
      </c>
      <c r="H27" s="87">
        <f t="shared" si="22"/>
        <v>0</v>
      </c>
      <c r="I27" s="156">
        <f t="shared" si="22"/>
        <v>0</v>
      </c>
      <c r="J27" s="243"/>
      <c r="K27" s="155">
        <f t="shared" ref="K27:N28" si="23">K18*K13/365</f>
        <v>0</v>
      </c>
      <c r="L27" s="87">
        <f t="shared" si="23"/>
        <v>0</v>
      </c>
      <c r="M27" s="87">
        <f t="shared" si="23"/>
        <v>0</v>
      </c>
      <c r="N27" s="156">
        <f t="shared" si="23"/>
        <v>0</v>
      </c>
    </row>
    <row r="28" spans="1:14" ht="15" thickBot="1" x14ac:dyDescent="0.35">
      <c r="A28" s="202" t="s">
        <v>183</v>
      </c>
      <c r="B28" s="194">
        <f t="shared" ref="B28:E28" si="24">B19*B14/(365/4)</f>
        <v>0</v>
      </c>
      <c r="C28" s="195">
        <f t="shared" si="24"/>
        <v>0</v>
      </c>
      <c r="D28" s="195">
        <f t="shared" si="24"/>
        <v>0</v>
      </c>
      <c r="E28" s="195">
        <f t="shared" si="24"/>
        <v>0</v>
      </c>
      <c r="F28" s="195">
        <f>F19*F14/(365/4)</f>
        <v>0</v>
      </c>
      <c r="G28" s="195">
        <f t="shared" ref="G28:I28" si="25">G19*G14/(365/4)</f>
        <v>0</v>
      </c>
      <c r="H28" s="195">
        <f t="shared" si="25"/>
        <v>0</v>
      </c>
      <c r="I28" s="196">
        <f t="shared" si="25"/>
        <v>0</v>
      </c>
      <c r="J28" s="243"/>
      <c r="K28" s="194">
        <f t="shared" si="23"/>
        <v>0</v>
      </c>
      <c r="L28" s="195">
        <f t="shared" si="23"/>
        <v>0</v>
      </c>
      <c r="M28" s="195">
        <f t="shared" si="23"/>
        <v>0</v>
      </c>
      <c r="N28" s="196">
        <f t="shared" si="23"/>
        <v>0</v>
      </c>
    </row>
    <row r="29" spans="1:14" ht="15" thickTop="1" x14ac:dyDescent="0.3">
      <c r="A29" s="203" t="s">
        <v>202</v>
      </c>
      <c r="B29" s="181">
        <f t="shared" ref="B29" si="26">SUM(B27:B28)</f>
        <v>0</v>
      </c>
      <c r="C29" s="182">
        <f t="shared" ref="C29:I29" si="27">SUM(C27:C28)</f>
        <v>0</v>
      </c>
      <c r="D29" s="182">
        <f t="shared" si="27"/>
        <v>0</v>
      </c>
      <c r="E29" s="182">
        <f t="shared" si="27"/>
        <v>0</v>
      </c>
      <c r="F29" s="182">
        <f t="shared" si="27"/>
        <v>0</v>
      </c>
      <c r="G29" s="182">
        <f t="shared" si="27"/>
        <v>0</v>
      </c>
      <c r="H29" s="182">
        <f t="shared" si="27"/>
        <v>0</v>
      </c>
      <c r="I29" s="183">
        <f t="shared" si="27"/>
        <v>0</v>
      </c>
      <c r="J29" s="243"/>
      <c r="K29" s="181">
        <f t="shared" ref="K29:N29" si="28">SUM(K27:K28)</f>
        <v>0</v>
      </c>
      <c r="L29" s="182">
        <f t="shared" si="28"/>
        <v>0</v>
      </c>
      <c r="M29" s="182">
        <f t="shared" si="28"/>
        <v>0</v>
      </c>
      <c r="N29" s="183">
        <f t="shared" si="28"/>
        <v>0</v>
      </c>
    </row>
    <row r="30" spans="1:14" x14ac:dyDescent="0.3">
      <c r="A30" s="187"/>
      <c r="B30" s="204"/>
      <c r="C30" s="205"/>
      <c r="D30" s="205"/>
      <c r="E30" s="205"/>
      <c r="F30" s="205"/>
      <c r="G30" s="205"/>
      <c r="H30" s="205"/>
      <c r="I30" s="206"/>
      <c r="J30" s="243"/>
      <c r="K30" s="204"/>
      <c r="L30" s="205"/>
      <c r="M30" s="205"/>
      <c r="N30" s="206"/>
    </row>
    <row r="31" spans="1:14" x14ac:dyDescent="0.3">
      <c r="A31" s="185" t="s">
        <v>201</v>
      </c>
      <c r="B31" s="165"/>
      <c r="C31" s="166"/>
      <c r="D31" s="166"/>
      <c r="E31" s="166"/>
      <c r="F31" s="166"/>
      <c r="G31" s="166"/>
      <c r="H31" s="166"/>
      <c r="I31" s="167"/>
      <c r="J31" s="243"/>
      <c r="K31" s="165"/>
      <c r="L31" s="166"/>
      <c r="M31" s="166"/>
      <c r="N31" s="167"/>
    </row>
    <row r="32" spans="1:14" ht="15" thickBot="1" x14ac:dyDescent="0.35">
      <c r="A32" s="197" t="s">
        <v>184</v>
      </c>
      <c r="B32" s="155">
        <f t="shared" ref="B32:E32" si="29">B19*B15/(365/4)</f>
        <v>0</v>
      </c>
      <c r="C32" s="87">
        <f t="shared" si="29"/>
        <v>0</v>
      </c>
      <c r="D32" s="87">
        <f t="shared" si="29"/>
        <v>0</v>
      </c>
      <c r="E32" s="87">
        <f t="shared" si="29"/>
        <v>0</v>
      </c>
      <c r="F32" s="87">
        <f>F19*F15/(365/4)</f>
        <v>0</v>
      </c>
      <c r="G32" s="87">
        <f t="shared" ref="G32:I32" si="30">G19*G15/(365/4)</f>
        <v>0</v>
      </c>
      <c r="H32" s="87">
        <f t="shared" si="30"/>
        <v>0</v>
      </c>
      <c r="I32" s="156">
        <f t="shared" si="30"/>
        <v>0</v>
      </c>
      <c r="J32" s="243"/>
      <c r="K32" s="155">
        <f>K19*K15/365</f>
        <v>0</v>
      </c>
      <c r="L32" s="87">
        <f>L19*L15/365</f>
        <v>0</v>
      </c>
      <c r="M32" s="87">
        <f>M19*M15/365</f>
        <v>0</v>
      </c>
      <c r="N32" s="156">
        <f>N19*N15/365</f>
        <v>0</v>
      </c>
    </row>
    <row r="33" spans="1:14" ht="15" thickTop="1" x14ac:dyDescent="0.3">
      <c r="A33" s="203" t="s">
        <v>202</v>
      </c>
      <c r="B33" s="181">
        <f t="shared" ref="B33:N33" si="31">SUM(B32:B32)</f>
        <v>0</v>
      </c>
      <c r="C33" s="182">
        <f t="shared" si="31"/>
        <v>0</v>
      </c>
      <c r="D33" s="182">
        <f t="shared" si="31"/>
        <v>0</v>
      </c>
      <c r="E33" s="182">
        <f t="shared" si="31"/>
        <v>0</v>
      </c>
      <c r="F33" s="182">
        <f t="shared" si="31"/>
        <v>0</v>
      </c>
      <c r="G33" s="182">
        <f t="shared" si="31"/>
        <v>0</v>
      </c>
      <c r="H33" s="182">
        <f t="shared" si="31"/>
        <v>0</v>
      </c>
      <c r="I33" s="183">
        <f t="shared" si="31"/>
        <v>0</v>
      </c>
      <c r="J33" s="243"/>
      <c r="K33" s="181">
        <f t="shared" si="31"/>
        <v>0</v>
      </c>
      <c r="L33" s="182">
        <f t="shared" si="31"/>
        <v>0</v>
      </c>
      <c r="M33" s="182">
        <f t="shared" si="31"/>
        <v>0</v>
      </c>
      <c r="N33" s="183">
        <f t="shared" si="31"/>
        <v>0</v>
      </c>
    </row>
    <row r="34" spans="1:14" ht="15" thickBot="1" x14ac:dyDescent="0.35">
      <c r="A34" s="184"/>
      <c r="B34" s="163"/>
      <c r="C34" s="27"/>
      <c r="D34" s="27"/>
      <c r="E34" s="27"/>
      <c r="F34" s="27"/>
      <c r="G34" s="27"/>
      <c r="H34" s="27"/>
      <c r="I34" s="164"/>
      <c r="J34" s="243"/>
      <c r="K34" s="163"/>
      <c r="L34" s="27"/>
      <c r="M34" s="27"/>
      <c r="N34" s="164"/>
    </row>
    <row r="35" spans="1:14" ht="15" thickTop="1" x14ac:dyDescent="0.3">
      <c r="A35" s="203" t="s">
        <v>185</v>
      </c>
      <c r="B35" s="181">
        <f t="shared" ref="B35:N35" si="32">B29-B33</f>
        <v>0</v>
      </c>
      <c r="C35" s="182">
        <f t="shared" si="32"/>
        <v>0</v>
      </c>
      <c r="D35" s="182">
        <f t="shared" si="32"/>
        <v>0</v>
      </c>
      <c r="E35" s="182">
        <f t="shared" si="32"/>
        <v>0</v>
      </c>
      <c r="F35" s="182">
        <f t="shared" si="32"/>
        <v>0</v>
      </c>
      <c r="G35" s="182">
        <f t="shared" si="32"/>
        <v>0</v>
      </c>
      <c r="H35" s="182">
        <f t="shared" si="32"/>
        <v>0</v>
      </c>
      <c r="I35" s="183">
        <f t="shared" si="32"/>
        <v>0</v>
      </c>
      <c r="J35" s="243"/>
      <c r="K35" s="181">
        <f t="shared" si="32"/>
        <v>0</v>
      </c>
      <c r="L35" s="182">
        <f t="shared" si="32"/>
        <v>0</v>
      </c>
      <c r="M35" s="182">
        <f t="shared" si="32"/>
        <v>0</v>
      </c>
      <c r="N35" s="183">
        <f t="shared" si="32"/>
        <v>0</v>
      </c>
    </row>
    <row r="36" spans="1:14" ht="15" thickBot="1" x14ac:dyDescent="0.35">
      <c r="A36" s="207" t="s">
        <v>199</v>
      </c>
      <c r="B36" s="208">
        <f>B35</f>
        <v>0</v>
      </c>
      <c r="C36" s="209">
        <f>B35-C35</f>
        <v>0</v>
      </c>
      <c r="D36" s="209">
        <f t="shared" ref="D36:N36" si="33">C35-D35</f>
        <v>0</v>
      </c>
      <c r="E36" s="209">
        <f t="shared" si="33"/>
        <v>0</v>
      </c>
      <c r="F36" s="209">
        <f>E35-F35</f>
        <v>0</v>
      </c>
      <c r="G36" s="209">
        <f>F35-G35</f>
        <v>0</v>
      </c>
      <c r="H36" s="209">
        <f t="shared" si="33"/>
        <v>0</v>
      </c>
      <c r="I36" s="210">
        <f t="shared" si="33"/>
        <v>0</v>
      </c>
      <c r="J36" s="243"/>
      <c r="K36" s="208">
        <f>I35-K35</f>
        <v>0</v>
      </c>
      <c r="L36" s="209">
        <f t="shared" si="33"/>
        <v>0</v>
      </c>
      <c r="M36" s="209">
        <f t="shared" si="33"/>
        <v>0</v>
      </c>
      <c r="N36" s="210">
        <f t="shared" si="33"/>
        <v>0</v>
      </c>
    </row>
    <row r="37" spans="1:14" ht="15" thickTop="1" x14ac:dyDescent="0.3">
      <c r="A37" s="184"/>
      <c r="B37" s="163"/>
      <c r="C37" s="27"/>
      <c r="D37" s="27"/>
      <c r="E37" s="27"/>
      <c r="F37" s="27"/>
      <c r="G37" s="27"/>
      <c r="H37" s="27"/>
      <c r="I37" s="164"/>
      <c r="J37" s="243"/>
      <c r="K37" s="163"/>
      <c r="L37" s="27"/>
      <c r="M37" s="27"/>
      <c r="N37" s="164"/>
    </row>
    <row r="38" spans="1:14" x14ac:dyDescent="0.3">
      <c r="A38" s="185" t="s">
        <v>181</v>
      </c>
      <c r="B38" s="165"/>
      <c r="C38" s="166"/>
      <c r="D38" s="166"/>
      <c r="E38" s="166"/>
      <c r="F38" s="166"/>
      <c r="G38" s="166"/>
      <c r="H38" s="166"/>
      <c r="I38" s="167"/>
      <c r="J38" s="243"/>
      <c r="K38" s="165"/>
      <c r="L38" s="166"/>
      <c r="M38" s="166"/>
      <c r="N38" s="167"/>
    </row>
    <row r="39" spans="1:14" x14ac:dyDescent="0.3">
      <c r="A39" s="188" t="s">
        <v>195</v>
      </c>
      <c r="B39" s="155">
        <f>B27</f>
        <v>0</v>
      </c>
      <c r="C39" s="87">
        <f t="shared" ref="C39:N39" si="34">B27-C27</f>
        <v>0</v>
      </c>
      <c r="D39" s="87">
        <f t="shared" si="34"/>
        <v>0</v>
      </c>
      <c r="E39" s="87">
        <f t="shared" si="34"/>
        <v>0</v>
      </c>
      <c r="F39" s="87">
        <f>E27-F27</f>
        <v>0</v>
      </c>
      <c r="G39" s="87">
        <f t="shared" si="34"/>
        <v>0</v>
      </c>
      <c r="H39" s="87">
        <f t="shared" si="34"/>
        <v>0</v>
      </c>
      <c r="I39" s="156">
        <f t="shared" si="34"/>
        <v>0</v>
      </c>
      <c r="J39" s="243"/>
      <c r="K39" s="155">
        <f>I27-K27</f>
        <v>0</v>
      </c>
      <c r="L39" s="87">
        <f t="shared" si="34"/>
        <v>0</v>
      </c>
      <c r="M39" s="87">
        <f t="shared" si="34"/>
        <v>0</v>
      </c>
      <c r="N39" s="156">
        <f t="shared" si="34"/>
        <v>0</v>
      </c>
    </row>
    <row r="40" spans="1:14" x14ac:dyDescent="0.3">
      <c r="A40" s="188" t="s">
        <v>183</v>
      </c>
      <c r="B40" s="155">
        <f>B28</f>
        <v>0</v>
      </c>
      <c r="C40" s="87">
        <f t="shared" ref="C40:N40" si="35">B28-C28</f>
        <v>0</v>
      </c>
      <c r="D40" s="87">
        <f t="shared" si="35"/>
        <v>0</v>
      </c>
      <c r="E40" s="87">
        <f t="shared" si="35"/>
        <v>0</v>
      </c>
      <c r="F40" s="87">
        <f t="shared" si="35"/>
        <v>0</v>
      </c>
      <c r="G40" s="87">
        <f t="shared" si="35"/>
        <v>0</v>
      </c>
      <c r="H40" s="87">
        <f t="shared" si="35"/>
        <v>0</v>
      </c>
      <c r="I40" s="156">
        <f t="shared" si="35"/>
        <v>0</v>
      </c>
      <c r="J40" s="243"/>
      <c r="K40" s="155">
        <f>I28-K28</f>
        <v>0</v>
      </c>
      <c r="L40" s="87">
        <f t="shared" si="35"/>
        <v>0</v>
      </c>
      <c r="M40" s="87">
        <f t="shared" si="35"/>
        <v>0</v>
      </c>
      <c r="N40" s="156">
        <f t="shared" si="35"/>
        <v>0</v>
      </c>
    </row>
    <row r="41" spans="1:14" ht="15" thickBot="1" x14ac:dyDescent="0.35">
      <c r="A41" s="188" t="s">
        <v>184</v>
      </c>
      <c r="B41" s="155">
        <f>B32</f>
        <v>0</v>
      </c>
      <c r="C41" s="87">
        <f t="shared" ref="C41:N41" si="36">C32-B32</f>
        <v>0</v>
      </c>
      <c r="D41" s="87">
        <f t="shared" si="36"/>
        <v>0</v>
      </c>
      <c r="E41" s="87">
        <f t="shared" si="36"/>
        <v>0</v>
      </c>
      <c r="F41" s="87">
        <f t="shared" si="36"/>
        <v>0</v>
      </c>
      <c r="G41" s="87">
        <f t="shared" si="36"/>
        <v>0</v>
      </c>
      <c r="H41" s="87">
        <f t="shared" si="36"/>
        <v>0</v>
      </c>
      <c r="I41" s="156">
        <f t="shared" si="36"/>
        <v>0</v>
      </c>
      <c r="J41" s="243"/>
      <c r="K41" s="155">
        <f>K32-I32</f>
        <v>0</v>
      </c>
      <c r="L41" s="87">
        <f t="shared" si="36"/>
        <v>0</v>
      </c>
      <c r="M41" s="87">
        <f t="shared" si="36"/>
        <v>0</v>
      </c>
      <c r="N41" s="156">
        <f t="shared" si="36"/>
        <v>0</v>
      </c>
    </row>
    <row r="42" spans="1:14" ht="15" thickTop="1" x14ac:dyDescent="0.3">
      <c r="A42" s="203" t="s">
        <v>186</v>
      </c>
      <c r="B42" s="181">
        <f t="shared" ref="B42:N42" si="37">SUM(B39:B41)</f>
        <v>0</v>
      </c>
      <c r="C42" s="182">
        <f t="shared" si="37"/>
        <v>0</v>
      </c>
      <c r="D42" s="182">
        <f t="shared" si="37"/>
        <v>0</v>
      </c>
      <c r="E42" s="182">
        <f t="shared" si="37"/>
        <v>0</v>
      </c>
      <c r="F42" s="182">
        <f t="shared" si="37"/>
        <v>0</v>
      </c>
      <c r="G42" s="182">
        <f t="shared" si="37"/>
        <v>0</v>
      </c>
      <c r="H42" s="182">
        <f t="shared" si="37"/>
        <v>0</v>
      </c>
      <c r="I42" s="183">
        <f t="shared" si="37"/>
        <v>0</v>
      </c>
      <c r="J42" s="243"/>
      <c r="K42" s="181">
        <f t="shared" si="37"/>
        <v>0</v>
      </c>
      <c r="L42" s="182">
        <f t="shared" si="37"/>
        <v>0</v>
      </c>
      <c r="M42" s="182">
        <f t="shared" si="37"/>
        <v>0</v>
      </c>
      <c r="N42" s="183">
        <f t="shared" si="37"/>
        <v>0</v>
      </c>
    </row>
    <row r="52" spans="6:10" x14ac:dyDescent="0.3">
      <c r="F52" s="213"/>
      <c r="G52" s="213"/>
      <c r="H52" s="213"/>
      <c r="I52" s="213"/>
      <c r="J52" s="213"/>
    </row>
    <row r="53" spans="6:10" x14ac:dyDescent="0.3">
      <c r="F53" s="213"/>
      <c r="G53" s="213"/>
      <c r="H53" s="213"/>
      <c r="I53" s="213"/>
      <c r="J53" s="213"/>
    </row>
    <row r="54" spans="6:10" x14ac:dyDescent="0.3">
      <c r="F54" s="213"/>
      <c r="G54" s="213"/>
      <c r="H54" s="213"/>
      <c r="I54" s="213"/>
      <c r="J54" s="213"/>
    </row>
  </sheetData>
  <mergeCells count="8">
    <mergeCell ref="B24:E24"/>
    <mergeCell ref="F24:I24"/>
    <mergeCell ref="B9:I9"/>
    <mergeCell ref="K9:N9"/>
    <mergeCell ref="B10:E10"/>
    <mergeCell ref="F10:I10"/>
    <mergeCell ref="B23:I23"/>
    <mergeCell ref="K23:N23"/>
  </mergeCells>
  <conditionalFormatting sqref="C39:I41 K39:N41">
    <cfRule type="cellIs" dxfId="97" priority="17" operator="lessThan">
      <formula>0</formula>
    </cfRule>
  </conditionalFormatting>
  <conditionalFormatting sqref="B39:I41 K39:N41">
    <cfRule type="cellIs" dxfId="96" priority="16" operator="lessThan">
      <formula>0</formula>
    </cfRule>
  </conditionalFormatting>
  <conditionalFormatting sqref="B27:I28 K27:N28">
    <cfRule type="cellIs" dxfId="95" priority="8" operator="lessThan">
      <formula>0</formula>
    </cfRule>
  </conditionalFormatting>
  <conditionalFormatting sqref="B42:I42 K42:N42">
    <cfRule type="cellIs" dxfId="94" priority="7" operator="lessThan">
      <formula>0</formula>
    </cfRule>
  </conditionalFormatting>
  <conditionalFormatting sqref="C32:I32 K32:N32">
    <cfRule type="cellIs" dxfId="93" priority="13" operator="lessThan">
      <formula>0</formula>
    </cfRule>
  </conditionalFormatting>
  <conditionalFormatting sqref="B32:I32 K32:N32">
    <cfRule type="cellIs" dxfId="92" priority="12" operator="lessThan">
      <formula>0</formula>
    </cfRule>
  </conditionalFormatting>
  <conditionalFormatting sqref="C18:I19 K18:N19">
    <cfRule type="cellIs" dxfId="91" priority="11" operator="lessThan">
      <formula>0</formula>
    </cfRule>
  </conditionalFormatting>
  <conditionalFormatting sqref="B18:I19 K18:N19">
    <cfRule type="cellIs" dxfId="90" priority="10" operator="lessThan">
      <formula>0</formula>
    </cfRule>
  </conditionalFormatting>
  <conditionalFormatting sqref="C27:I28 K27:N28">
    <cfRule type="cellIs" dxfId="89" priority="9" operator="lessThan">
      <formula>0</formula>
    </cfRule>
  </conditionalFormatting>
  <conditionalFormatting sqref="B36:I36 K36:N36">
    <cfRule type="cellIs" dxfId="88" priority="6" operator="lessThan">
      <formula>0</formula>
    </cfRule>
  </conditionalFormatting>
  <conditionalFormatting sqref="B35:I35 K35:N35">
    <cfRule type="cellIs" dxfId="87" priority="5" operator="lessThan">
      <formula>0</formula>
    </cfRule>
  </conditionalFormatting>
  <conditionalFormatting sqref="B33:I33 K33:N33">
    <cfRule type="cellIs" dxfId="86" priority="4" operator="lessThan">
      <formula>0</formula>
    </cfRule>
  </conditionalFormatting>
  <conditionalFormatting sqref="B29:I30 K29:N30">
    <cfRule type="cellIs" dxfId="85" priority="3" operator="lessThan">
      <formula>0</formula>
    </cfRule>
  </conditionalFormatting>
  <conditionalFormatting sqref="C13:I16 K13:N16">
    <cfRule type="cellIs" dxfId="84" priority="2" operator="lessThan">
      <formula>0</formula>
    </cfRule>
  </conditionalFormatting>
  <conditionalFormatting sqref="B13:I16 K13:N16">
    <cfRule type="cellIs" dxfId="83" priority="1" operator="lessThan">
      <formula>0</formula>
    </cfRule>
  </conditionalFormatting>
  <dataValidations count="1">
    <dataValidation type="list" allowBlank="1" showInputMessage="1" showErrorMessage="1" sqref="B5">
      <formula1>COGSMethod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62"/>
  <sheetViews>
    <sheetView workbookViewId="0">
      <selection activeCell="D6" sqref="D6:H8"/>
    </sheetView>
  </sheetViews>
  <sheetFormatPr defaultRowHeight="14.4" x14ac:dyDescent="0.3"/>
  <cols>
    <col min="1" max="1" width="20.21875" customWidth="1"/>
    <col min="2" max="9" width="11.77734375" customWidth="1"/>
    <col min="10" max="10" width="9.44140625" customWidth="1"/>
    <col min="11" max="14" width="11.77734375" customWidth="1"/>
    <col min="15" max="15" width="10" customWidth="1"/>
  </cols>
  <sheetData>
    <row r="1" spans="1:15" ht="24" thickBot="1" x14ac:dyDescent="0.5">
      <c r="A1" s="38" t="s">
        <v>87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</row>
    <row r="2" spans="1:15" ht="15" thickTop="1" x14ac:dyDescent="0.3">
      <c r="A2" s="36" t="str">
        <f>"Financing Income and Costs ("&amp;SubHeader&amp;")"</f>
        <v>Financing Income and Costs (USD)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3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</row>
    <row r="4" spans="1:15" ht="19.8" x14ac:dyDescent="0.4">
      <c r="A4" s="37" t="s">
        <v>135</v>
      </c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</row>
    <row r="5" spans="1:15" s="47" customFormat="1" ht="31.2" x14ac:dyDescent="0.3">
      <c r="A5" s="45"/>
      <c r="B5" s="79" t="s">
        <v>88</v>
      </c>
      <c r="C5" s="80" t="s">
        <v>85</v>
      </c>
      <c r="D5" s="379" t="s">
        <v>86</v>
      </c>
      <c r="E5" s="380"/>
      <c r="F5" s="380"/>
      <c r="G5" s="380"/>
      <c r="H5" s="381"/>
      <c r="M5" s="34"/>
      <c r="N5" s="34"/>
      <c r="O5" s="46"/>
    </row>
    <row r="6" spans="1:15" ht="15" customHeight="1" x14ac:dyDescent="0.3">
      <c r="A6" s="48" t="s">
        <v>137</v>
      </c>
      <c r="B6" s="285">
        <v>0</v>
      </c>
      <c r="C6" s="337">
        <v>43831</v>
      </c>
      <c r="D6" s="370"/>
      <c r="E6" s="363"/>
      <c r="F6" s="363"/>
      <c r="G6" s="363"/>
      <c r="H6" s="364"/>
      <c r="M6" s="34"/>
      <c r="N6" s="34"/>
      <c r="O6" s="32"/>
    </row>
    <row r="7" spans="1:15" x14ac:dyDescent="0.3">
      <c r="A7" s="49" t="s">
        <v>138</v>
      </c>
      <c r="B7" s="293">
        <v>0</v>
      </c>
      <c r="C7" s="338">
        <v>44197</v>
      </c>
      <c r="D7" s="367"/>
      <c r="E7" s="356"/>
      <c r="F7" s="356"/>
      <c r="G7" s="356"/>
      <c r="H7" s="357"/>
      <c r="M7" s="34"/>
      <c r="N7" s="34"/>
      <c r="O7" s="32"/>
    </row>
    <row r="8" spans="1:15" x14ac:dyDescent="0.3">
      <c r="A8" s="49" t="s">
        <v>139</v>
      </c>
      <c r="B8" s="293"/>
      <c r="C8" s="338"/>
      <c r="D8" s="367"/>
      <c r="E8" s="356"/>
      <c r="F8" s="356"/>
      <c r="G8" s="356"/>
      <c r="H8" s="357"/>
      <c r="M8" s="34"/>
      <c r="N8" s="34"/>
      <c r="O8" s="32"/>
    </row>
    <row r="9" spans="1:15" x14ac:dyDescent="0.3">
      <c r="A9" s="49" t="s">
        <v>140</v>
      </c>
      <c r="B9" s="293"/>
      <c r="C9" s="338"/>
      <c r="D9" s="367"/>
      <c r="E9" s="356"/>
      <c r="F9" s="356"/>
      <c r="G9" s="356"/>
      <c r="H9" s="357"/>
      <c r="M9" s="34"/>
      <c r="N9" s="34"/>
      <c r="O9" s="32"/>
    </row>
    <row r="10" spans="1:15" x14ac:dyDescent="0.3">
      <c r="A10" s="49" t="s">
        <v>141</v>
      </c>
      <c r="B10" s="293"/>
      <c r="C10" s="338"/>
      <c r="D10" s="367"/>
      <c r="E10" s="356"/>
      <c r="F10" s="356"/>
      <c r="G10" s="356"/>
      <c r="H10" s="357"/>
      <c r="M10" s="34"/>
      <c r="N10" s="34"/>
      <c r="O10" s="32"/>
    </row>
    <row r="11" spans="1:15" x14ac:dyDescent="0.3">
      <c r="A11" s="49" t="s">
        <v>142</v>
      </c>
      <c r="B11" s="293"/>
      <c r="C11" s="338"/>
      <c r="D11" s="367"/>
      <c r="E11" s="356"/>
      <c r="F11" s="356"/>
      <c r="G11" s="356"/>
      <c r="H11" s="357"/>
      <c r="M11" s="34"/>
      <c r="N11" s="34"/>
      <c r="O11" s="32"/>
    </row>
    <row r="12" spans="1:15" x14ac:dyDescent="0.3">
      <c r="A12" s="49" t="s">
        <v>143</v>
      </c>
      <c r="B12" s="293"/>
      <c r="C12" s="338"/>
      <c r="D12" s="367"/>
      <c r="E12" s="356"/>
      <c r="F12" s="356"/>
      <c r="G12" s="356"/>
      <c r="H12" s="357"/>
      <c r="M12" s="34"/>
      <c r="N12" s="34"/>
      <c r="O12" s="32"/>
    </row>
    <row r="13" spans="1:15" x14ac:dyDescent="0.3">
      <c r="A13" s="50" t="s">
        <v>89</v>
      </c>
      <c r="B13" s="317"/>
      <c r="C13" s="339"/>
      <c r="D13" s="368"/>
      <c r="E13" s="354"/>
      <c r="F13" s="354"/>
      <c r="G13" s="354"/>
      <c r="H13" s="355"/>
      <c r="M13" s="34"/>
      <c r="N13" s="34"/>
      <c r="O13" s="32"/>
    </row>
    <row r="14" spans="1:15" x14ac:dyDescent="0.3">
      <c r="A14" s="64"/>
      <c r="B14" s="64"/>
      <c r="C14" s="64"/>
      <c r="D14" s="64"/>
      <c r="E14" s="64"/>
      <c r="F14" s="34"/>
      <c r="G14" s="34"/>
      <c r="H14" s="34"/>
      <c r="I14" s="34"/>
      <c r="J14" s="34"/>
      <c r="K14" s="34"/>
      <c r="L14" s="34"/>
      <c r="M14" s="34"/>
      <c r="N14" s="34"/>
      <c r="O14" s="32"/>
    </row>
    <row r="15" spans="1:15" x14ac:dyDescent="0.3">
      <c r="A15" s="27"/>
      <c r="B15" s="28"/>
      <c r="C15" s="34"/>
      <c r="D15" s="34"/>
      <c r="E15" s="34"/>
      <c r="F15" s="34"/>
      <c r="G15" s="34"/>
      <c r="H15" s="35"/>
      <c r="I15" s="35"/>
      <c r="J15" s="35"/>
      <c r="K15" s="35"/>
      <c r="L15" s="35"/>
      <c r="M15" s="35"/>
      <c r="N15" s="35"/>
      <c r="O15" s="32"/>
    </row>
    <row r="16" spans="1:15" ht="19.8" x14ac:dyDescent="0.4">
      <c r="A16" s="37" t="s">
        <v>90</v>
      </c>
      <c r="B16" s="28"/>
      <c r="C16" s="34"/>
      <c r="D16" s="34"/>
      <c r="E16" s="34"/>
      <c r="F16" s="34"/>
      <c r="G16" s="34"/>
      <c r="H16" s="35"/>
      <c r="I16" s="34"/>
      <c r="J16" s="34"/>
      <c r="K16" s="34"/>
      <c r="L16" s="35"/>
      <c r="M16" s="35"/>
      <c r="N16" s="35"/>
      <c r="O16" s="32"/>
    </row>
    <row r="17" spans="1:15" ht="46.8" x14ac:dyDescent="0.3">
      <c r="A17" s="45"/>
      <c r="B17" s="340" t="s">
        <v>96</v>
      </c>
      <c r="C17" s="341" t="s">
        <v>99</v>
      </c>
      <c r="D17" s="341" t="s">
        <v>98</v>
      </c>
      <c r="E17" s="341" t="s">
        <v>97</v>
      </c>
      <c r="F17" s="379" t="s">
        <v>86</v>
      </c>
      <c r="G17" s="380"/>
      <c r="H17" s="380"/>
      <c r="I17" s="380"/>
      <c r="J17" s="380"/>
      <c r="K17" s="381"/>
      <c r="L17" s="35"/>
      <c r="M17" s="35"/>
      <c r="N17" s="35"/>
      <c r="O17" s="32"/>
    </row>
    <row r="18" spans="1:15" x14ac:dyDescent="0.3">
      <c r="A18" s="48" t="s">
        <v>91</v>
      </c>
      <c r="B18" s="285"/>
      <c r="C18" s="285"/>
      <c r="D18" s="337"/>
      <c r="E18" s="285"/>
      <c r="F18" s="370"/>
      <c r="G18" s="363"/>
      <c r="H18" s="363"/>
      <c r="I18" s="363"/>
      <c r="J18" s="363"/>
      <c r="K18" s="364"/>
      <c r="L18" s="35"/>
      <c r="M18" s="35"/>
      <c r="N18" s="35"/>
      <c r="O18" s="32"/>
    </row>
    <row r="19" spans="1:15" x14ac:dyDescent="0.3">
      <c r="A19" s="49" t="s">
        <v>92</v>
      </c>
      <c r="B19" s="293"/>
      <c r="C19" s="293"/>
      <c r="D19" s="338"/>
      <c r="E19" s="293"/>
      <c r="F19" s="367"/>
      <c r="G19" s="356"/>
      <c r="H19" s="356"/>
      <c r="I19" s="356"/>
      <c r="J19" s="356"/>
      <c r="K19" s="357"/>
      <c r="L19" s="35"/>
      <c r="M19" s="35"/>
      <c r="N19" s="35"/>
      <c r="O19" s="32"/>
    </row>
    <row r="20" spans="1:15" x14ac:dyDescent="0.3">
      <c r="A20" s="49" t="s">
        <v>93</v>
      </c>
      <c r="B20" s="293"/>
      <c r="C20" s="293"/>
      <c r="D20" s="338"/>
      <c r="E20" s="293"/>
      <c r="F20" s="367"/>
      <c r="G20" s="356"/>
      <c r="H20" s="356"/>
      <c r="I20" s="356"/>
      <c r="J20" s="356"/>
      <c r="K20" s="357"/>
      <c r="L20" s="35"/>
      <c r="M20" s="35"/>
      <c r="N20" s="35"/>
      <c r="O20" s="32"/>
    </row>
    <row r="21" spans="1:15" x14ac:dyDescent="0.3">
      <c r="A21" s="49" t="s">
        <v>94</v>
      </c>
      <c r="B21" s="293"/>
      <c r="C21" s="293"/>
      <c r="D21" s="338"/>
      <c r="E21" s="293"/>
      <c r="F21" s="367"/>
      <c r="G21" s="356"/>
      <c r="H21" s="356"/>
      <c r="I21" s="356"/>
      <c r="J21" s="356"/>
      <c r="K21" s="357"/>
      <c r="L21" s="35"/>
      <c r="M21" s="35"/>
      <c r="N21" s="35"/>
      <c r="O21" s="32"/>
    </row>
    <row r="22" spans="1:15" x14ac:dyDescent="0.3">
      <c r="A22" s="50" t="s">
        <v>95</v>
      </c>
      <c r="B22" s="317"/>
      <c r="C22" s="317"/>
      <c r="D22" s="339"/>
      <c r="E22" s="317"/>
      <c r="F22" s="368"/>
      <c r="G22" s="354"/>
      <c r="H22" s="354"/>
      <c r="I22" s="354"/>
      <c r="J22" s="354"/>
      <c r="K22" s="355"/>
      <c r="L22" s="35"/>
      <c r="M22" s="35"/>
      <c r="N22" s="35"/>
      <c r="O22" s="32"/>
    </row>
    <row r="23" spans="1:15" x14ac:dyDescent="0.3">
      <c r="A23" s="27"/>
      <c r="B23" s="28"/>
      <c r="C23" s="34"/>
      <c r="D23" s="34"/>
      <c r="E23" s="34"/>
      <c r="F23" s="34"/>
      <c r="G23" s="34"/>
      <c r="H23" s="35"/>
      <c r="I23" s="35"/>
      <c r="J23" s="35"/>
      <c r="K23" s="35"/>
      <c r="L23" s="35"/>
      <c r="M23" s="35"/>
      <c r="N23" s="35"/>
      <c r="O23" s="32"/>
    </row>
    <row r="24" spans="1:15" x14ac:dyDescent="0.3">
      <c r="A24" s="27"/>
      <c r="B24" s="28"/>
      <c r="C24" s="34"/>
      <c r="D24" s="34"/>
      <c r="E24" s="34"/>
      <c r="F24" s="34"/>
      <c r="G24" s="34"/>
      <c r="H24" s="35"/>
      <c r="I24" s="35"/>
      <c r="J24" s="35"/>
      <c r="K24" s="35"/>
      <c r="L24" s="35"/>
      <c r="M24" s="35"/>
      <c r="N24" s="35"/>
      <c r="O24" s="32"/>
    </row>
    <row r="25" spans="1:15" ht="19.8" x14ac:dyDescent="0.4">
      <c r="A25" s="41" t="s">
        <v>136</v>
      </c>
    </row>
    <row r="26" spans="1:15" x14ac:dyDescent="0.3">
      <c r="A26" s="36"/>
      <c r="B26" s="343" t="str">
        <f>A25&amp;" by Quarter (years 1 and 2)"</f>
        <v>Income from Equity Fundraising by Quarter (years 1 and 2)</v>
      </c>
      <c r="C26" s="344"/>
      <c r="D26" s="344"/>
      <c r="E26" s="344"/>
      <c r="F26" s="344"/>
      <c r="G26" s="344"/>
      <c r="H26" s="344"/>
      <c r="I26" s="345"/>
      <c r="J26" s="243"/>
      <c r="K26" s="351" t="str">
        <f>"Annual "&amp;A25&amp;" (years 3 to 6)"</f>
        <v>Annual Income from Equity Fundraising (years 3 to 6)</v>
      </c>
      <c r="L26" s="352"/>
      <c r="M26" s="352"/>
      <c r="N26" s="353"/>
      <c r="O26" s="32"/>
    </row>
    <row r="27" spans="1:15" x14ac:dyDescent="0.3">
      <c r="A27" s="36"/>
      <c r="B27" s="346" t="s">
        <v>205</v>
      </c>
      <c r="C27" s="347"/>
      <c r="D27" s="347"/>
      <c r="E27" s="348"/>
      <c r="F27" s="349" t="s">
        <v>206</v>
      </c>
      <c r="G27" s="347"/>
      <c r="H27" s="347"/>
      <c r="I27" s="350"/>
      <c r="J27" s="243"/>
      <c r="K27" s="108" t="s">
        <v>145</v>
      </c>
      <c r="L27" s="109" t="s">
        <v>146</v>
      </c>
      <c r="M27" s="109" t="s">
        <v>147</v>
      </c>
      <c r="N27" s="110" t="s">
        <v>243</v>
      </c>
      <c r="O27" s="32"/>
    </row>
    <row r="28" spans="1:15" s="61" customFormat="1" x14ac:dyDescent="0.3">
      <c r="A28" s="59"/>
      <c r="B28" s="104">
        <f>StartDate</f>
        <v>43921</v>
      </c>
      <c r="C28" s="60">
        <f>EDATE(B28,3)</f>
        <v>44012</v>
      </c>
      <c r="D28" s="60">
        <f t="shared" ref="D28:I28" si="0">EDATE(C28,3)</f>
        <v>44104</v>
      </c>
      <c r="E28" s="60">
        <f t="shared" si="0"/>
        <v>44195</v>
      </c>
      <c r="F28" s="60">
        <f t="shared" si="0"/>
        <v>44285</v>
      </c>
      <c r="G28" s="60">
        <f t="shared" si="0"/>
        <v>44377</v>
      </c>
      <c r="H28" s="60">
        <f t="shared" si="0"/>
        <v>44469</v>
      </c>
      <c r="I28" s="100">
        <f t="shared" si="0"/>
        <v>44560</v>
      </c>
      <c r="J28" s="243"/>
      <c r="K28" s="104">
        <f>EDATE(I28,3)</f>
        <v>44650</v>
      </c>
      <c r="L28" s="60">
        <f t="shared" ref="L28:N28" si="1">EDATE(K28,12)</f>
        <v>45015</v>
      </c>
      <c r="M28" s="60">
        <f t="shared" si="1"/>
        <v>45381</v>
      </c>
      <c r="N28" s="107">
        <f t="shared" si="1"/>
        <v>45746</v>
      </c>
    </row>
    <row r="29" spans="1:15" x14ac:dyDescent="0.3">
      <c r="A29" s="42" t="str">
        <f t="shared" ref="A29:A36" si="2">A6</f>
        <v>Round 1</v>
      </c>
      <c r="B29" s="120">
        <f t="shared" ref="B29:B36" si="3">IF(B$28=$C6,$B6,IF($C6&lt;C$28,$B6,0))</f>
        <v>0</v>
      </c>
      <c r="C29" s="51">
        <f t="shared" ref="C29:N29" si="4">IF(C$28=$C6,$B6,IF($C6&gt;C$28,IF($C6&lt;D$28,$B6,0),0))</f>
        <v>0</v>
      </c>
      <c r="D29" s="51">
        <f t="shared" si="4"/>
        <v>0</v>
      </c>
      <c r="E29" s="51">
        <f t="shared" si="4"/>
        <v>0</v>
      </c>
      <c r="F29" s="51">
        <f t="shared" si="4"/>
        <v>0</v>
      </c>
      <c r="G29" s="51">
        <f t="shared" si="4"/>
        <v>0</v>
      </c>
      <c r="H29" s="51">
        <f t="shared" si="4"/>
        <v>0</v>
      </c>
      <c r="I29" s="121">
        <f t="shared" ref="I29:I36" si="5">IF(I$28=$C6,$B6,IF($C6&gt;I$28,IF($C6&lt;K$28,$B6,0),0))</f>
        <v>0</v>
      </c>
      <c r="J29" s="243"/>
      <c r="K29" s="120">
        <f t="shared" si="4"/>
        <v>0</v>
      </c>
      <c r="L29" s="51">
        <f t="shared" si="4"/>
        <v>0</v>
      </c>
      <c r="M29" s="51">
        <f t="shared" si="4"/>
        <v>0</v>
      </c>
      <c r="N29" s="121">
        <f t="shared" si="4"/>
        <v>0</v>
      </c>
    </row>
    <row r="30" spans="1:15" x14ac:dyDescent="0.3">
      <c r="A30" s="42" t="str">
        <f t="shared" si="2"/>
        <v>Round 2</v>
      </c>
      <c r="B30" s="120">
        <f t="shared" si="3"/>
        <v>0</v>
      </c>
      <c r="C30" s="51">
        <f t="shared" ref="C30:N30" si="6">IF(C$28=$C7,$B7,IF($C7&gt;C$28,IF($C7&lt;D$28,$B7,0),0))</f>
        <v>0</v>
      </c>
      <c r="D30" s="51">
        <f t="shared" si="6"/>
        <v>0</v>
      </c>
      <c r="E30" s="51">
        <f t="shared" si="6"/>
        <v>0</v>
      </c>
      <c r="F30" s="51">
        <f t="shared" si="6"/>
        <v>0</v>
      </c>
      <c r="G30" s="51">
        <f t="shared" si="6"/>
        <v>0</v>
      </c>
      <c r="H30" s="51">
        <f t="shared" si="6"/>
        <v>0</v>
      </c>
      <c r="I30" s="121">
        <f t="shared" si="5"/>
        <v>0</v>
      </c>
      <c r="J30" s="243"/>
      <c r="K30" s="120">
        <f t="shared" si="6"/>
        <v>0</v>
      </c>
      <c r="L30" s="51">
        <f t="shared" si="6"/>
        <v>0</v>
      </c>
      <c r="M30" s="51">
        <f t="shared" si="6"/>
        <v>0</v>
      </c>
      <c r="N30" s="121">
        <f t="shared" si="6"/>
        <v>0</v>
      </c>
    </row>
    <row r="31" spans="1:15" x14ac:dyDescent="0.3">
      <c r="A31" s="42" t="str">
        <f t="shared" si="2"/>
        <v>Round 3</v>
      </c>
      <c r="B31" s="120">
        <f t="shared" si="3"/>
        <v>0</v>
      </c>
      <c r="C31" s="51">
        <f t="shared" ref="C31:N31" si="7">IF(C$28=$C8,$B8,IF($C8&gt;C$28,IF($C8&lt;D$28,$B8,0),0))</f>
        <v>0</v>
      </c>
      <c r="D31" s="51">
        <f t="shared" si="7"/>
        <v>0</v>
      </c>
      <c r="E31" s="51">
        <f t="shared" si="7"/>
        <v>0</v>
      </c>
      <c r="F31" s="51">
        <f t="shared" si="7"/>
        <v>0</v>
      </c>
      <c r="G31" s="51">
        <f t="shared" si="7"/>
        <v>0</v>
      </c>
      <c r="H31" s="51">
        <f t="shared" si="7"/>
        <v>0</v>
      </c>
      <c r="I31" s="121">
        <f t="shared" si="5"/>
        <v>0</v>
      </c>
      <c r="J31" s="243"/>
      <c r="K31" s="120">
        <f t="shared" si="7"/>
        <v>0</v>
      </c>
      <c r="L31" s="51">
        <f t="shared" si="7"/>
        <v>0</v>
      </c>
      <c r="M31" s="51">
        <f t="shared" si="7"/>
        <v>0</v>
      </c>
      <c r="N31" s="121">
        <f t="shared" si="7"/>
        <v>0</v>
      </c>
    </row>
    <row r="32" spans="1:15" x14ac:dyDescent="0.3">
      <c r="A32" s="42" t="str">
        <f t="shared" si="2"/>
        <v>Round 4</v>
      </c>
      <c r="B32" s="120">
        <f t="shared" si="3"/>
        <v>0</v>
      </c>
      <c r="C32" s="51">
        <f t="shared" ref="C32:N32" si="8">IF(C$28=$C9,$B9,IF($C9&gt;C$28,IF($C9&lt;D$28,$B9,0),0))</f>
        <v>0</v>
      </c>
      <c r="D32" s="51">
        <f t="shared" si="8"/>
        <v>0</v>
      </c>
      <c r="E32" s="51">
        <f t="shared" si="8"/>
        <v>0</v>
      </c>
      <c r="F32" s="51">
        <f t="shared" si="8"/>
        <v>0</v>
      </c>
      <c r="G32" s="51">
        <f t="shared" si="8"/>
        <v>0</v>
      </c>
      <c r="H32" s="51">
        <f t="shared" si="8"/>
        <v>0</v>
      </c>
      <c r="I32" s="121">
        <f t="shared" si="5"/>
        <v>0</v>
      </c>
      <c r="J32" s="243"/>
      <c r="K32" s="120">
        <f t="shared" si="8"/>
        <v>0</v>
      </c>
      <c r="L32" s="51">
        <f t="shared" si="8"/>
        <v>0</v>
      </c>
      <c r="M32" s="51">
        <f t="shared" si="8"/>
        <v>0</v>
      </c>
      <c r="N32" s="121">
        <f t="shared" si="8"/>
        <v>0</v>
      </c>
    </row>
    <row r="33" spans="1:14" x14ac:dyDescent="0.3">
      <c r="A33" s="42" t="str">
        <f t="shared" si="2"/>
        <v>Round 5</v>
      </c>
      <c r="B33" s="120">
        <f t="shared" si="3"/>
        <v>0</v>
      </c>
      <c r="C33" s="51">
        <f t="shared" ref="C33:N33" si="9">IF(C$28=$C10,$B10,IF($C10&gt;C$28,IF($C10&lt;D$28,$B10,0),0))</f>
        <v>0</v>
      </c>
      <c r="D33" s="51">
        <f t="shared" si="9"/>
        <v>0</v>
      </c>
      <c r="E33" s="51">
        <f t="shared" si="9"/>
        <v>0</v>
      </c>
      <c r="F33" s="51">
        <f t="shared" si="9"/>
        <v>0</v>
      </c>
      <c r="G33" s="51">
        <f t="shared" si="9"/>
        <v>0</v>
      </c>
      <c r="H33" s="51">
        <f t="shared" si="9"/>
        <v>0</v>
      </c>
      <c r="I33" s="121">
        <f t="shared" si="5"/>
        <v>0</v>
      </c>
      <c r="J33" s="243"/>
      <c r="K33" s="120">
        <f t="shared" si="9"/>
        <v>0</v>
      </c>
      <c r="L33" s="51">
        <f t="shared" si="9"/>
        <v>0</v>
      </c>
      <c r="M33" s="51">
        <f t="shared" si="9"/>
        <v>0</v>
      </c>
      <c r="N33" s="121">
        <f t="shared" si="9"/>
        <v>0</v>
      </c>
    </row>
    <row r="34" spans="1:14" x14ac:dyDescent="0.3">
      <c r="A34" s="42" t="str">
        <f t="shared" si="2"/>
        <v>Round 6</v>
      </c>
      <c r="B34" s="120">
        <f t="shared" si="3"/>
        <v>0</v>
      </c>
      <c r="C34" s="51">
        <f t="shared" ref="C34:N34" si="10">IF(C$28=$C11,$B11,IF($C11&gt;C$28,IF($C11&lt;D$28,$B11,0),0))</f>
        <v>0</v>
      </c>
      <c r="D34" s="51">
        <f t="shared" si="10"/>
        <v>0</v>
      </c>
      <c r="E34" s="51">
        <f t="shared" si="10"/>
        <v>0</v>
      </c>
      <c r="F34" s="51">
        <f t="shared" si="10"/>
        <v>0</v>
      </c>
      <c r="G34" s="51">
        <f t="shared" si="10"/>
        <v>0</v>
      </c>
      <c r="H34" s="51">
        <f t="shared" si="10"/>
        <v>0</v>
      </c>
      <c r="I34" s="121">
        <f t="shared" si="5"/>
        <v>0</v>
      </c>
      <c r="J34" s="243"/>
      <c r="K34" s="120">
        <f t="shared" si="10"/>
        <v>0</v>
      </c>
      <c r="L34" s="51">
        <f t="shared" si="10"/>
        <v>0</v>
      </c>
      <c r="M34" s="51">
        <f t="shared" si="10"/>
        <v>0</v>
      </c>
      <c r="N34" s="121">
        <f t="shared" si="10"/>
        <v>0</v>
      </c>
    </row>
    <row r="35" spans="1:14" x14ac:dyDescent="0.3">
      <c r="A35" s="42" t="str">
        <f t="shared" si="2"/>
        <v>Round 7</v>
      </c>
      <c r="B35" s="120">
        <f t="shared" si="3"/>
        <v>0</v>
      </c>
      <c r="C35" s="51">
        <f t="shared" ref="C35:N35" si="11">IF(C$28=$C12,$B12,IF($C12&gt;C$28,IF($C12&lt;D$28,$B12,0),0))</f>
        <v>0</v>
      </c>
      <c r="D35" s="51">
        <f t="shared" si="11"/>
        <v>0</v>
      </c>
      <c r="E35" s="51">
        <f t="shared" si="11"/>
        <v>0</v>
      </c>
      <c r="F35" s="51">
        <f t="shared" si="11"/>
        <v>0</v>
      </c>
      <c r="G35" s="51">
        <f t="shared" si="11"/>
        <v>0</v>
      </c>
      <c r="H35" s="51">
        <f t="shared" si="11"/>
        <v>0</v>
      </c>
      <c r="I35" s="121">
        <f t="shared" si="5"/>
        <v>0</v>
      </c>
      <c r="J35" s="243"/>
      <c r="K35" s="120">
        <f t="shared" si="11"/>
        <v>0</v>
      </c>
      <c r="L35" s="51">
        <f t="shared" si="11"/>
        <v>0</v>
      </c>
      <c r="M35" s="51">
        <f t="shared" si="11"/>
        <v>0</v>
      </c>
      <c r="N35" s="121">
        <f t="shared" si="11"/>
        <v>0</v>
      </c>
    </row>
    <row r="36" spans="1:14" ht="15" thickBot="1" x14ac:dyDescent="0.35">
      <c r="A36" s="42" t="str">
        <f t="shared" si="2"/>
        <v>Investor 8</v>
      </c>
      <c r="B36" s="120">
        <f t="shared" si="3"/>
        <v>0</v>
      </c>
      <c r="C36" s="51">
        <f t="shared" ref="C36:N36" si="12">IF(C$28=$C13,$B13,IF($C13&gt;C$28,IF($C13&lt;D$28,$B13,0),0))</f>
        <v>0</v>
      </c>
      <c r="D36" s="51">
        <f t="shared" si="12"/>
        <v>0</v>
      </c>
      <c r="E36" s="51">
        <f t="shared" si="12"/>
        <v>0</v>
      </c>
      <c r="F36" s="51">
        <f t="shared" si="12"/>
        <v>0</v>
      </c>
      <c r="G36" s="51">
        <f t="shared" si="12"/>
        <v>0</v>
      </c>
      <c r="H36" s="51">
        <f t="shared" si="12"/>
        <v>0</v>
      </c>
      <c r="I36" s="121">
        <f t="shared" si="5"/>
        <v>0</v>
      </c>
      <c r="J36" s="243"/>
      <c r="K36" s="120">
        <f t="shared" si="12"/>
        <v>0</v>
      </c>
      <c r="L36" s="51">
        <f t="shared" si="12"/>
        <v>0</v>
      </c>
      <c r="M36" s="51">
        <f t="shared" si="12"/>
        <v>0</v>
      </c>
      <c r="N36" s="121">
        <f t="shared" si="12"/>
        <v>0</v>
      </c>
    </row>
    <row r="37" spans="1:14" ht="15" thickTop="1" x14ac:dyDescent="0.3">
      <c r="A37" s="85" t="s">
        <v>13</v>
      </c>
      <c r="B37" s="117">
        <f>SUM(B29:B36)</f>
        <v>0</v>
      </c>
      <c r="C37" s="86">
        <f t="shared" ref="C37:N37" si="13">SUM(C29:C36)</f>
        <v>0</v>
      </c>
      <c r="D37" s="86">
        <f t="shared" si="13"/>
        <v>0</v>
      </c>
      <c r="E37" s="86">
        <f t="shared" si="13"/>
        <v>0</v>
      </c>
      <c r="F37" s="86">
        <f t="shared" si="13"/>
        <v>0</v>
      </c>
      <c r="G37" s="86">
        <f t="shared" si="13"/>
        <v>0</v>
      </c>
      <c r="H37" s="86">
        <f t="shared" si="13"/>
        <v>0</v>
      </c>
      <c r="I37" s="118">
        <f t="shared" si="13"/>
        <v>0</v>
      </c>
      <c r="J37" s="243"/>
      <c r="K37" s="117">
        <f t="shared" si="13"/>
        <v>0</v>
      </c>
      <c r="L37" s="86">
        <f t="shared" si="13"/>
        <v>0</v>
      </c>
      <c r="M37" s="86">
        <f t="shared" si="13"/>
        <v>0</v>
      </c>
      <c r="N37" s="118">
        <f t="shared" si="13"/>
        <v>0</v>
      </c>
    </row>
    <row r="38" spans="1:14" x14ac:dyDescent="0.3">
      <c r="A38" s="4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 x14ac:dyDescent="0.3">
      <c r="A39" s="42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ht="19.8" x14ac:dyDescent="0.4">
      <c r="A40" s="41" t="s">
        <v>119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x14ac:dyDescent="0.3">
      <c r="A41" s="36"/>
      <c r="B41" s="343" t="str">
        <f>A40&amp;" by Quarter (years 1 and 2)"</f>
        <v>Change in Debt by Quarter (years 1 and 2)</v>
      </c>
      <c r="C41" s="344"/>
      <c r="D41" s="344"/>
      <c r="E41" s="344"/>
      <c r="F41" s="344"/>
      <c r="G41" s="344"/>
      <c r="H41" s="344"/>
      <c r="I41" s="345"/>
      <c r="J41" s="243"/>
      <c r="K41" s="351" t="str">
        <f>"Annual "&amp;A40&amp;" (years 3 to 6)"</f>
        <v>Annual Change in Debt (years 3 to 6)</v>
      </c>
      <c r="L41" s="352"/>
      <c r="M41" s="352"/>
      <c r="N41" s="353"/>
    </row>
    <row r="42" spans="1:14" x14ac:dyDescent="0.3">
      <c r="A42" s="36"/>
      <c r="B42" s="346" t="s">
        <v>205</v>
      </c>
      <c r="C42" s="347"/>
      <c r="D42" s="347"/>
      <c r="E42" s="348"/>
      <c r="F42" s="349" t="s">
        <v>206</v>
      </c>
      <c r="G42" s="347"/>
      <c r="H42" s="347"/>
      <c r="I42" s="350"/>
      <c r="J42" s="243"/>
      <c r="K42" s="108" t="s">
        <v>145</v>
      </c>
      <c r="L42" s="109" t="s">
        <v>146</v>
      </c>
      <c r="M42" s="109" t="s">
        <v>147</v>
      </c>
      <c r="N42" s="110" t="s">
        <v>243</v>
      </c>
    </row>
    <row r="43" spans="1:14" x14ac:dyDescent="0.3">
      <c r="A43" s="59"/>
      <c r="B43" s="104">
        <f>StartDate</f>
        <v>43921</v>
      </c>
      <c r="C43" s="60">
        <f>EDATE(B43,3)</f>
        <v>44012</v>
      </c>
      <c r="D43" s="60">
        <f t="shared" ref="D43:I43" si="14">EDATE(C43,3)</f>
        <v>44104</v>
      </c>
      <c r="E43" s="60">
        <f t="shared" si="14"/>
        <v>44195</v>
      </c>
      <c r="F43" s="60">
        <f t="shared" si="14"/>
        <v>44285</v>
      </c>
      <c r="G43" s="60">
        <f t="shared" si="14"/>
        <v>44377</v>
      </c>
      <c r="H43" s="60">
        <f t="shared" si="14"/>
        <v>44469</v>
      </c>
      <c r="I43" s="100">
        <f t="shared" si="14"/>
        <v>44560</v>
      </c>
      <c r="J43" s="243"/>
      <c r="K43" s="104">
        <f>EDATE(I43,3)</f>
        <v>44650</v>
      </c>
      <c r="L43" s="60">
        <f t="shared" ref="L43:N43" si="15">EDATE(K43,12)</f>
        <v>45015</v>
      </c>
      <c r="M43" s="60">
        <f t="shared" si="15"/>
        <v>45381</v>
      </c>
      <c r="N43" s="107">
        <f t="shared" si="15"/>
        <v>45746</v>
      </c>
    </row>
    <row r="44" spans="1:14" x14ac:dyDescent="0.3">
      <c r="A44" s="42" t="str">
        <f>A18</f>
        <v>Loan 1</v>
      </c>
      <c r="B44" s="155">
        <f>IF(B$43=$D18,$B18,IF($D18&lt;C$43,$B18,0))</f>
        <v>0</v>
      </c>
      <c r="C44" s="87">
        <f>IF(C$43=$D18,$B18,IF(C$43=EDATE($D18,12*$E18),$B18*-1,IF($D18&gt;C$43,IF($D18&lt;D$43,$B18,0),IF(EDATE($D18,12*$E18)&gt;D$43,0,IF(EDATE($D18,12*$E18)&gt;C$43,IF(EDATE($D18,12*$E18)&lt;D$43,$B18*-1,0),0)))))</f>
        <v>0</v>
      </c>
      <c r="D44" s="87">
        <f t="shared" ref="D44:N44" si="16">IF(D$43=$D18,$B18,IF(D$43=EDATE($D18,12*$E18),$B18*-1,IF($D18&gt;D$43,IF($D18&lt;E$43,$B18,0),IF(EDATE($D18,12*$E18)&gt;E$43,0,IF(EDATE($D18,12*$E18)&gt;D$43,IF(EDATE($D18,12*$E18)&lt;E$43,$B18*-1,0),0)))))</f>
        <v>0</v>
      </c>
      <c r="E44" s="87">
        <f t="shared" si="16"/>
        <v>0</v>
      </c>
      <c r="F44" s="87">
        <f t="shared" si="16"/>
        <v>0</v>
      </c>
      <c r="G44" s="87">
        <f t="shared" si="16"/>
        <v>0</v>
      </c>
      <c r="H44" s="87">
        <f t="shared" si="16"/>
        <v>0</v>
      </c>
      <c r="I44" s="156">
        <f>IF(I$43=$D18,$B18,IF(I$43=EDATE($D18,12*$E18),$B18*-1,IF($D18&gt;I$43,IF($D18&lt;K$43,$B18,0),IF(EDATE($D18,12*$E18)&gt;K$43,0,IF(EDATE($D18,12*$E18)&gt;I$43,IF(EDATE($D18,12*$E18)&lt;K$43,$B18*-1,0),0)))))</f>
        <v>0</v>
      </c>
      <c r="J44" s="243"/>
      <c r="K44" s="155">
        <f t="shared" si="16"/>
        <v>0</v>
      </c>
      <c r="L44" s="87">
        <f t="shared" si="16"/>
        <v>0</v>
      </c>
      <c r="M44" s="87">
        <f t="shared" si="16"/>
        <v>0</v>
      </c>
      <c r="N44" s="156">
        <f t="shared" si="16"/>
        <v>0</v>
      </c>
    </row>
    <row r="45" spans="1:14" x14ac:dyDescent="0.3">
      <c r="A45" s="42" t="str">
        <f>A19</f>
        <v>Loan 2</v>
      </c>
      <c r="B45" s="155">
        <f>IF(B$43=$D19,$B19,IF($D19&lt;C$43,$B19,0))</f>
        <v>0</v>
      </c>
      <c r="C45" s="87">
        <f t="shared" ref="C45:N45" si="17">IF(C$43=$D19,$B19,IF(C$43=EDATE($D19,12*$E19),$B19*-1,IF($D19&gt;C$43,IF($D19&lt;D$43,$B19,0),IF(EDATE($D19,12*$E19)&gt;D$43,0,IF(EDATE($D19,12*$E19)&gt;C$43,IF(EDATE($D19,12*$E19)&lt;D$43,$B19*-1,0),0)))))</f>
        <v>0</v>
      </c>
      <c r="D45" s="87">
        <f t="shared" si="17"/>
        <v>0</v>
      </c>
      <c r="E45" s="87">
        <f t="shared" si="17"/>
        <v>0</v>
      </c>
      <c r="F45" s="87">
        <f t="shared" si="17"/>
        <v>0</v>
      </c>
      <c r="G45" s="87">
        <f t="shared" si="17"/>
        <v>0</v>
      </c>
      <c r="H45" s="87">
        <f t="shared" si="17"/>
        <v>0</v>
      </c>
      <c r="I45" s="156">
        <f>IF(I$43=$D19,$B19,IF(I$43=EDATE($D19,12*$E19),$B19*-1,IF($D19&gt;I$43,IF($D19&lt;K$43,$B19,0),IF(EDATE($D19,12*$E19)&gt;K$43,0,IF(EDATE($D19,12*$E19)&gt;I$43,IF(EDATE($D19,12*$E19)&lt;K$43,$B19*-1,0),0)))))</f>
        <v>0</v>
      </c>
      <c r="J45" s="243"/>
      <c r="K45" s="155">
        <f t="shared" si="17"/>
        <v>0</v>
      </c>
      <c r="L45" s="87">
        <f t="shared" si="17"/>
        <v>0</v>
      </c>
      <c r="M45" s="87">
        <f t="shared" si="17"/>
        <v>0</v>
      </c>
      <c r="N45" s="156">
        <f t="shared" si="17"/>
        <v>0</v>
      </c>
    </row>
    <row r="46" spans="1:14" x14ac:dyDescent="0.3">
      <c r="A46" s="42" t="str">
        <f>A20</f>
        <v>Loan 3</v>
      </c>
      <c r="B46" s="155">
        <f>IF(B$43=$D20,$B20,IF($D20&lt;C$43,$B20,0))</f>
        <v>0</v>
      </c>
      <c r="C46" s="87">
        <f t="shared" ref="C46:N46" si="18">IF(C$43=$D20,$B20,IF(C$43=EDATE($D20,12*$E20),$B20*-1,IF($D20&gt;C$43,IF($D20&lt;D$43,$B20,0),IF(EDATE($D20,12*$E20)&gt;D$43,0,IF(EDATE($D20,12*$E20)&gt;C$43,IF(EDATE($D20,12*$E20)&lt;D$43,$B20*-1,0),0)))))</f>
        <v>0</v>
      </c>
      <c r="D46" s="87">
        <f t="shared" si="18"/>
        <v>0</v>
      </c>
      <c r="E46" s="87">
        <f t="shared" si="18"/>
        <v>0</v>
      </c>
      <c r="F46" s="87">
        <f t="shared" si="18"/>
        <v>0</v>
      </c>
      <c r="G46" s="87">
        <f t="shared" si="18"/>
        <v>0</v>
      </c>
      <c r="H46" s="87">
        <f t="shared" si="18"/>
        <v>0</v>
      </c>
      <c r="I46" s="156">
        <f>IF(I$43=$D20,$B20,IF(I$43=EDATE($D20,12*$E20),$B20*-1,IF($D20&gt;I$43,IF($D20&lt;K$43,$B20,0),IF(EDATE($D20,12*$E20)&gt;K$43,0,IF(EDATE($D20,12*$E20)&gt;I$43,IF(EDATE($D20,12*$E20)&lt;K$43,$B20*-1,0),0)))))</f>
        <v>0</v>
      </c>
      <c r="J46" s="243"/>
      <c r="K46" s="155">
        <f t="shared" si="18"/>
        <v>0</v>
      </c>
      <c r="L46" s="87">
        <f t="shared" si="18"/>
        <v>0</v>
      </c>
      <c r="M46" s="87">
        <f t="shared" si="18"/>
        <v>0</v>
      </c>
      <c r="N46" s="156">
        <f t="shared" si="18"/>
        <v>0</v>
      </c>
    </row>
    <row r="47" spans="1:14" x14ac:dyDescent="0.3">
      <c r="A47" s="42" t="str">
        <f>A21</f>
        <v>Loan 4</v>
      </c>
      <c r="B47" s="155">
        <f>IF(B$43=$D21,$B21,IF($D21&lt;C$43,$B21,0))</f>
        <v>0</v>
      </c>
      <c r="C47" s="87">
        <f t="shared" ref="C47:N47" si="19">IF(C$43=$D21,$B21,IF(C$43=EDATE($D21,12*$E21),$B21*-1,IF($D21&gt;C$43,IF($D21&lt;D$43,$B21,0),IF(EDATE($D21,12*$E21)&gt;D$43,0,IF(EDATE($D21,12*$E21)&gt;C$43,IF(EDATE($D21,12*$E21)&lt;D$43,$B21*-1,0),0)))))</f>
        <v>0</v>
      </c>
      <c r="D47" s="87">
        <f t="shared" si="19"/>
        <v>0</v>
      </c>
      <c r="E47" s="87">
        <f t="shared" si="19"/>
        <v>0</v>
      </c>
      <c r="F47" s="87">
        <f t="shared" si="19"/>
        <v>0</v>
      </c>
      <c r="G47" s="87">
        <f t="shared" si="19"/>
        <v>0</v>
      </c>
      <c r="H47" s="87">
        <f t="shared" si="19"/>
        <v>0</v>
      </c>
      <c r="I47" s="156">
        <f>IF(I$43=$D21,$B21,IF(I$43=EDATE($D21,12*$E21),$B21*-1,IF($D21&gt;I$43,IF($D21&lt;K$43,$B21,0),IF(EDATE($D21,12*$E21)&gt;K$43,0,IF(EDATE($D21,12*$E21)&gt;I$43,IF(EDATE($D21,12*$E21)&lt;K$43,$B21*-1,0),0)))))</f>
        <v>0</v>
      </c>
      <c r="J47" s="243"/>
      <c r="K47" s="155">
        <f t="shared" si="19"/>
        <v>0</v>
      </c>
      <c r="L47" s="87">
        <f t="shared" si="19"/>
        <v>0</v>
      </c>
      <c r="M47" s="87">
        <f t="shared" si="19"/>
        <v>0</v>
      </c>
      <c r="N47" s="156">
        <f t="shared" si="19"/>
        <v>0</v>
      </c>
    </row>
    <row r="48" spans="1:14" ht="15" thickBot="1" x14ac:dyDescent="0.35">
      <c r="A48" s="42" t="str">
        <f>A22</f>
        <v>Loan 5</v>
      </c>
      <c r="B48" s="155">
        <f>IF(B$43=$D22,$B22,IF($D22&lt;C$43,$B22,0))</f>
        <v>0</v>
      </c>
      <c r="C48" s="87">
        <f t="shared" ref="C48:N48" si="20">IF(C$43=$D22,$B22,IF(C$43=EDATE($D22,12*$E22),$B22*-1,IF($D22&gt;C$43,IF($D22&lt;D$43,$B22,0),IF(EDATE($D22,12*$E22)&gt;D$43,0,IF(EDATE($D22,12*$E22)&gt;C$43,IF(EDATE($D22,12*$E22)&lt;D$43,$B22*-1,0),0)))))</f>
        <v>0</v>
      </c>
      <c r="D48" s="87">
        <f t="shared" si="20"/>
        <v>0</v>
      </c>
      <c r="E48" s="87">
        <f t="shared" si="20"/>
        <v>0</v>
      </c>
      <c r="F48" s="87">
        <f t="shared" si="20"/>
        <v>0</v>
      </c>
      <c r="G48" s="87">
        <f t="shared" si="20"/>
        <v>0</v>
      </c>
      <c r="H48" s="87">
        <f t="shared" si="20"/>
        <v>0</v>
      </c>
      <c r="I48" s="156">
        <f>IF(I$43=$D22,$B22,IF(I$43=EDATE($D22,12*$E22),$B22*-1,IF($D22&gt;I$43,IF($D22&lt;K$43,$B22,0),IF(EDATE($D22,12*$E22)&gt;K$43,0,IF(EDATE($D22,12*$E22)&gt;I$43,IF(EDATE($D22,12*$E22)&lt;K$43,$B22*-1,0),0)))))</f>
        <v>0</v>
      </c>
      <c r="J48" s="243"/>
      <c r="K48" s="155">
        <f t="shared" si="20"/>
        <v>0</v>
      </c>
      <c r="L48" s="87">
        <f t="shared" si="20"/>
        <v>0</v>
      </c>
      <c r="M48" s="87">
        <f t="shared" si="20"/>
        <v>0</v>
      </c>
      <c r="N48" s="156">
        <f t="shared" si="20"/>
        <v>0</v>
      </c>
    </row>
    <row r="49" spans="1:14" ht="15" thickTop="1" x14ac:dyDescent="0.3">
      <c r="A49" s="88" t="s">
        <v>13</v>
      </c>
      <c r="B49" s="157">
        <f>SUM(B44:B48)</f>
        <v>0</v>
      </c>
      <c r="C49" s="89">
        <f t="shared" ref="C49:N49" si="21">SUM(C44:C48)</f>
        <v>0</v>
      </c>
      <c r="D49" s="89">
        <f t="shared" si="21"/>
        <v>0</v>
      </c>
      <c r="E49" s="89">
        <f t="shared" si="21"/>
        <v>0</v>
      </c>
      <c r="F49" s="89">
        <f t="shared" si="21"/>
        <v>0</v>
      </c>
      <c r="G49" s="89">
        <f t="shared" si="21"/>
        <v>0</v>
      </c>
      <c r="H49" s="89">
        <f t="shared" si="21"/>
        <v>0</v>
      </c>
      <c r="I49" s="158">
        <f t="shared" si="21"/>
        <v>0</v>
      </c>
      <c r="J49" s="243"/>
      <c r="K49" s="157">
        <f t="shared" si="21"/>
        <v>0</v>
      </c>
      <c r="L49" s="89">
        <f t="shared" si="21"/>
        <v>0</v>
      </c>
      <c r="M49" s="89">
        <f t="shared" si="21"/>
        <v>0</v>
      </c>
      <c r="N49" s="158">
        <f t="shared" si="21"/>
        <v>0</v>
      </c>
    </row>
    <row r="53" spans="1:14" ht="19.8" x14ac:dyDescent="0.4">
      <c r="A53" s="41" t="s">
        <v>118</v>
      </c>
    </row>
    <row r="54" spans="1:14" x14ac:dyDescent="0.3">
      <c r="A54" s="36"/>
      <c r="B54" s="343" t="str">
        <f>A53&amp;" by Quarter (years 1 and 2)"</f>
        <v>Interest Payments by Quarter (years 1 and 2)</v>
      </c>
      <c r="C54" s="344"/>
      <c r="D54" s="344"/>
      <c r="E54" s="344"/>
      <c r="F54" s="344"/>
      <c r="G54" s="344"/>
      <c r="H54" s="344"/>
      <c r="I54" s="345"/>
      <c r="J54" s="243"/>
      <c r="K54" s="351" t="str">
        <f>"Annual "&amp;A53&amp;" (years 3 to 6)"</f>
        <v>Annual Interest Payments (years 3 to 6)</v>
      </c>
      <c r="L54" s="352"/>
      <c r="M54" s="352"/>
      <c r="N54" s="353"/>
    </row>
    <row r="55" spans="1:14" x14ac:dyDescent="0.3">
      <c r="A55" s="36"/>
      <c r="B55" s="346" t="s">
        <v>205</v>
      </c>
      <c r="C55" s="347"/>
      <c r="D55" s="347"/>
      <c r="E55" s="348"/>
      <c r="F55" s="349" t="s">
        <v>206</v>
      </c>
      <c r="G55" s="347"/>
      <c r="H55" s="347"/>
      <c r="I55" s="350"/>
      <c r="J55" s="243"/>
      <c r="K55" s="108" t="s">
        <v>145</v>
      </c>
      <c r="L55" s="109" t="s">
        <v>146</v>
      </c>
      <c r="M55" s="109" t="s">
        <v>147</v>
      </c>
      <c r="N55" s="110" t="s">
        <v>243</v>
      </c>
    </row>
    <row r="56" spans="1:14" x14ac:dyDescent="0.3">
      <c r="A56" s="59"/>
      <c r="B56" s="104">
        <f>StartDate</f>
        <v>43921</v>
      </c>
      <c r="C56" s="60">
        <f>EDATE(B56,3)</f>
        <v>44012</v>
      </c>
      <c r="D56" s="60">
        <f t="shared" ref="D56:I56" si="22">EDATE(C56,3)</f>
        <v>44104</v>
      </c>
      <c r="E56" s="60">
        <f t="shared" si="22"/>
        <v>44195</v>
      </c>
      <c r="F56" s="60">
        <f t="shared" si="22"/>
        <v>44285</v>
      </c>
      <c r="G56" s="60">
        <f t="shared" si="22"/>
        <v>44377</v>
      </c>
      <c r="H56" s="60">
        <f t="shared" si="22"/>
        <v>44469</v>
      </c>
      <c r="I56" s="100">
        <f t="shared" si="22"/>
        <v>44560</v>
      </c>
      <c r="J56" s="243"/>
      <c r="K56" s="104">
        <f>EDATE(I56,3)</f>
        <v>44650</v>
      </c>
      <c r="L56" s="60">
        <f t="shared" ref="L56:N56" si="23">EDATE(K56,12)</f>
        <v>45015</v>
      </c>
      <c r="M56" s="60">
        <f t="shared" si="23"/>
        <v>45381</v>
      </c>
      <c r="N56" s="107">
        <f t="shared" si="23"/>
        <v>45746</v>
      </c>
    </row>
    <row r="57" spans="1:14" x14ac:dyDescent="0.3">
      <c r="A57" s="42" t="str">
        <f>A18</f>
        <v>Loan 1</v>
      </c>
      <c r="B57" s="129"/>
      <c r="C57" s="119"/>
      <c r="D57" s="119"/>
      <c r="E57" s="119"/>
      <c r="F57" s="119"/>
      <c r="G57" s="119"/>
      <c r="H57" s="119"/>
      <c r="I57" s="130"/>
      <c r="J57" s="243"/>
      <c r="K57" s="129"/>
      <c r="L57" s="119"/>
      <c r="M57" s="119"/>
      <c r="N57" s="130"/>
    </row>
    <row r="58" spans="1:14" x14ac:dyDescent="0.3">
      <c r="A58" s="42" t="str">
        <f>A19</f>
        <v>Loan 2</v>
      </c>
      <c r="B58" s="129"/>
      <c r="C58" s="119"/>
      <c r="D58" s="119"/>
      <c r="E58" s="119"/>
      <c r="F58" s="119"/>
      <c r="G58" s="119"/>
      <c r="H58" s="119"/>
      <c r="I58" s="130"/>
      <c r="J58" s="243"/>
      <c r="K58" s="129"/>
      <c r="L58" s="119"/>
      <c r="M58" s="119"/>
      <c r="N58" s="130"/>
    </row>
    <row r="59" spans="1:14" x14ac:dyDescent="0.3">
      <c r="A59" s="42" t="str">
        <f>A20</f>
        <v>Loan 3</v>
      </c>
      <c r="B59" s="129"/>
      <c r="C59" s="119"/>
      <c r="D59" s="119"/>
      <c r="E59" s="119"/>
      <c r="F59" s="119"/>
      <c r="G59" s="119"/>
      <c r="H59" s="119"/>
      <c r="I59" s="130"/>
      <c r="J59" s="243"/>
      <c r="K59" s="129"/>
      <c r="L59" s="119"/>
      <c r="M59" s="119"/>
      <c r="N59" s="130"/>
    </row>
    <row r="60" spans="1:14" x14ac:dyDescent="0.3">
      <c r="A60" s="42" t="str">
        <f>A21</f>
        <v>Loan 4</v>
      </c>
      <c r="B60" s="129"/>
      <c r="C60" s="119"/>
      <c r="D60" s="119"/>
      <c r="E60" s="119"/>
      <c r="F60" s="119"/>
      <c r="G60" s="119"/>
      <c r="H60" s="119"/>
      <c r="I60" s="130"/>
      <c r="J60" s="243"/>
      <c r="K60" s="129"/>
      <c r="L60" s="119"/>
      <c r="M60" s="119"/>
      <c r="N60" s="130"/>
    </row>
    <row r="61" spans="1:14" ht="15" thickBot="1" x14ac:dyDescent="0.35">
      <c r="A61" s="78" t="str">
        <f>A22</f>
        <v>Loan 5</v>
      </c>
      <c r="B61" s="131"/>
      <c r="C61" s="128"/>
      <c r="D61" s="128"/>
      <c r="E61" s="128"/>
      <c r="F61" s="128"/>
      <c r="G61" s="128"/>
      <c r="H61" s="128"/>
      <c r="I61" s="132"/>
      <c r="J61" s="243"/>
      <c r="K61" s="131"/>
      <c r="L61" s="128"/>
      <c r="M61" s="128"/>
      <c r="N61" s="132"/>
    </row>
    <row r="62" spans="1:14" ht="15" thickTop="1" x14ac:dyDescent="0.3">
      <c r="A62" s="44" t="s">
        <v>13</v>
      </c>
      <c r="B62" s="124">
        <f>SUM(B57:B61)</f>
        <v>0</v>
      </c>
      <c r="C62" s="53">
        <f t="shared" ref="C62:N62" si="24">SUM(C57:C61)</f>
        <v>0</v>
      </c>
      <c r="D62" s="53">
        <f t="shared" si="24"/>
        <v>0</v>
      </c>
      <c r="E62" s="53">
        <f t="shared" si="24"/>
        <v>0</v>
      </c>
      <c r="F62" s="53">
        <f t="shared" si="24"/>
        <v>0</v>
      </c>
      <c r="G62" s="53">
        <f t="shared" si="24"/>
        <v>0</v>
      </c>
      <c r="H62" s="53">
        <f t="shared" si="24"/>
        <v>0</v>
      </c>
      <c r="I62" s="103">
        <f t="shared" si="24"/>
        <v>0</v>
      </c>
      <c r="J62" s="243"/>
      <c r="K62" s="124">
        <f t="shared" si="24"/>
        <v>0</v>
      </c>
      <c r="L62" s="53">
        <f t="shared" si="24"/>
        <v>0</v>
      </c>
      <c r="M62" s="53">
        <f t="shared" si="24"/>
        <v>0</v>
      </c>
      <c r="N62" s="103">
        <f t="shared" si="24"/>
        <v>0</v>
      </c>
    </row>
  </sheetData>
  <mergeCells count="27">
    <mergeCell ref="B26:I26"/>
    <mergeCell ref="K26:N26"/>
    <mergeCell ref="B27:E27"/>
    <mergeCell ref="F27:I27"/>
    <mergeCell ref="B54:I54"/>
    <mergeCell ref="K54:N54"/>
    <mergeCell ref="B55:E55"/>
    <mergeCell ref="F55:I55"/>
    <mergeCell ref="B41:I41"/>
    <mergeCell ref="K41:N41"/>
    <mergeCell ref="B42:E42"/>
    <mergeCell ref="F42:I42"/>
    <mergeCell ref="D13:H13"/>
    <mergeCell ref="D11:H11"/>
    <mergeCell ref="D12:H12"/>
    <mergeCell ref="D5:H5"/>
    <mergeCell ref="D6:H6"/>
    <mergeCell ref="D7:H7"/>
    <mergeCell ref="D8:H8"/>
    <mergeCell ref="D9:H9"/>
    <mergeCell ref="D10:H10"/>
    <mergeCell ref="F22:K22"/>
    <mergeCell ref="F19:K19"/>
    <mergeCell ref="F20:K20"/>
    <mergeCell ref="F21:K21"/>
    <mergeCell ref="F17:K17"/>
    <mergeCell ref="F18:K18"/>
  </mergeCells>
  <conditionalFormatting sqref="B57:I60 K57:N60">
    <cfRule type="cellIs" dxfId="82" priority="2" operator="lessThan">
      <formula>0</formula>
    </cfRule>
  </conditionalFormatting>
  <conditionalFormatting sqref="B44:I49 K44:N49">
    <cfRule type="cellIs" dxfId="8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Y47"/>
  <sheetViews>
    <sheetView workbookViewId="0">
      <selection activeCell="B10" sqref="B10"/>
    </sheetView>
  </sheetViews>
  <sheetFormatPr defaultRowHeight="14.4" x14ac:dyDescent="0.3"/>
  <cols>
    <col min="1" max="1" width="28.44140625" customWidth="1"/>
    <col min="2" max="9" width="11.77734375" customWidth="1"/>
    <col min="10" max="10" width="7.77734375" customWidth="1"/>
    <col min="11" max="14" width="11.77734375" customWidth="1"/>
    <col min="15" max="15" width="10.5546875" customWidth="1"/>
    <col min="16" max="16" width="3.77734375" customWidth="1"/>
    <col min="17" max="17" width="29.5546875" customWidth="1"/>
    <col min="18" max="18" width="5" bestFit="1" customWidth="1"/>
    <col min="19" max="24" width="12.5546875" customWidth="1"/>
    <col min="25" max="25" width="3.77734375" customWidth="1"/>
  </cols>
  <sheetData>
    <row r="1" spans="1:25" ht="24.6" thickTop="1" thickBot="1" x14ac:dyDescent="0.5">
      <c r="A1" s="38" t="s">
        <v>109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38" t="str">
        <f>CompanyName &amp;" Annual Cash Flow Statement"</f>
        <v>WorkHorse Annual Cash Flow Statement</v>
      </c>
      <c r="R1" s="253"/>
      <c r="S1" s="225"/>
      <c r="T1" s="226"/>
      <c r="U1" s="226"/>
      <c r="V1" s="226"/>
      <c r="W1" s="226"/>
      <c r="X1" s="226"/>
      <c r="Y1" s="228"/>
    </row>
    <row r="2" spans="1:25" ht="15" thickTop="1" x14ac:dyDescent="0.3">
      <c r="A2" s="36" t="str">
        <f>"All Values in "&amp;SubHeader</f>
        <v>All Values in USD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27"/>
      <c r="Y2" s="164"/>
    </row>
    <row r="3" spans="1:25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/>
      <c r="R3" s="218"/>
      <c r="S3" s="27"/>
      <c r="T3" s="27"/>
      <c r="U3" s="27"/>
      <c r="V3" s="27"/>
      <c r="W3" s="27"/>
      <c r="X3" s="27"/>
      <c r="Y3" s="164"/>
    </row>
    <row r="4" spans="1:25" ht="15" customHeight="1" x14ac:dyDescent="0.35">
      <c r="A4" s="27"/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18" t="s">
        <v>211</v>
      </c>
      <c r="R4" s="218"/>
      <c r="S4" s="27"/>
      <c r="T4" s="27"/>
      <c r="U4" s="27"/>
      <c r="V4" s="27"/>
      <c r="W4" s="27"/>
      <c r="X4" s="27"/>
      <c r="Y4" s="164"/>
    </row>
    <row r="5" spans="1:25" ht="19.8" x14ac:dyDescent="0.4">
      <c r="A5" s="41" t="s">
        <v>174</v>
      </c>
      <c r="O5" s="32"/>
      <c r="P5" s="219"/>
      <c r="Y5" s="220"/>
    </row>
    <row r="6" spans="1:25" ht="15" customHeight="1" x14ac:dyDescent="0.3">
      <c r="A6" s="36"/>
      <c r="B6" s="343" t="s">
        <v>171</v>
      </c>
      <c r="C6" s="344"/>
      <c r="D6" s="344"/>
      <c r="E6" s="344"/>
      <c r="F6" s="344"/>
      <c r="G6" s="344"/>
      <c r="H6" s="344"/>
      <c r="I6" s="345"/>
      <c r="J6" s="243"/>
      <c r="K6" s="351" t="s">
        <v>172</v>
      </c>
      <c r="L6" s="352"/>
      <c r="M6" s="352"/>
      <c r="N6" s="353"/>
      <c r="O6" s="32"/>
      <c r="P6" s="217"/>
      <c r="S6" s="360" t="s">
        <v>212</v>
      </c>
      <c r="T6" s="361"/>
      <c r="U6" s="361"/>
      <c r="V6" s="361"/>
      <c r="W6" s="361"/>
      <c r="X6" s="362"/>
      <c r="Y6" s="164"/>
    </row>
    <row r="7" spans="1:25" ht="15" customHeight="1" x14ac:dyDescent="0.3">
      <c r="A7" s="36"/>
      <c r="B7" s="346" t="s">
        <v>205</v>
      </c>
      <c r="C7" s="347"/>
      <c r="D7" s="347"/>
      <c r="E7" s="348"/>
      <c r="F7" s="349" t="s">
        <v>206</v>
      </c>
      <c r="G7" s="347"/>
      <c r="H7" s="347"/>
      <c r="I7" s="350"/>
      <c r="J7" s="243"/>
      <c r="K7" s="108" t="s">
        <v>145</v>
      </c>
      <c r="L7" s="109" t="s">
        <v>146</v>
      </c>
      <c r="M7" s="109" t="s">
        <v>147</v>
      </c>
      <c r="N7" s="110" t="s">
        <v>243</v>
      </c>
      <c r="O7" s="32"/>
      <c r="P7" s="217"/>
      <c r="S7" s="108" t="s">
        <v>205</v>
      </c>
      <c r="T7" s="109" t="s">
        <v>206</v>
      </c>
      <c r="U7" s="109" t="s">
        <v>145</v>
      </c>
      <c r="V7" s="109" t="s">
        <v>146</v>
      </c>
      <c r="W7" s="109" t="s">
        <v>147</v>
      </c>
      <c r="X7" s="110" t="s">
        <v>243</v>
      </c>
      <c r="Y7" s="164"/>
    </row>
    <row r="8" spans="1:25" ht="15" customHeight="1" x14ac:dyDescent="0.3">
      <c r="A8" s="92" t="s">
        <v>271</v>
      </c>
      <c r="B8" s="104">
        <f>StartDate</f>
        <v>43921</v>
      </c>
      <c r="C8" s="60">
        <f>EDATE(B8,3)</f>
        <v>44012</v>
      </c>
      <c r="D8" s="60">
        <f t="shared" ref="D8:I8" si="0">EDATE(C8,3)</f>
        <v>44104</v>
      </c>
      <c r="E8" s="60">
        <f t="shared" si="0"/>
        <v>44195</v>
      </c>
      <c r="F8" s="60">
        <f t="shared" si="0"/>
        <v>44285</v>
      </c>
      <c r="G8" s="60">
        <f t="shared" si="0"/>
        <v>44377</v>
      </c>
      <c r="H8" s="60">
        <f t="shared" si="0"/>
        <v>44469</v>
      </c>
      <c r="I8" s="100">
        <f t="shared" si="0"/>
        <v>44560</v>
      </c>
      <c r="J8" s="243"/>
      <c r="K8" s="104">
        <f>EDATE(I8,3)</f>
        <v>44650</v>
      </c>
      <c r="L8" s="60">
        <f t="shared" ref="L8:N8" si="1">EDATE(K8,12)</f>
        <v>45015</v>
      </c>
      <c r="M8" s="60">
        <f t="shared" si="1"/>
        <v>45381</v>
      </c>
      <c r="N8" s="107">
        <f t="shared" si="1"/>
        <v>45746</v>
      </c>
      <c r="O8" s="32"/>
      <c r="P8" s="217"/>
      <c r="Q8" s="92" t="s">
        <v>271</v>
      </c>
      <c r="S8" s="231">
        <f>B8</f>
        <v>43921</v>
      </c>
      <c r="T8" s="232">
        <f>F8</f>
        <v>44285</v>
      </c>
      <c r="U8" s="232">
        <f>K8</f>
        <v>44650</v>
      </c>
      <c r="V8" s="232">
        <f t="shared" ref="V8:X8" si="2">L8</f>
        <v>45015</v>
      </c>
      <c r="W8" s="232">
        <f t="shared" si="2"/>
        <v>45381</v>
      </c>
      <c r="X8" s="233">
        <f t="shared" si="2"/>
        <v>45746</v>
      </c>
      <c r="Y8" s="164"/>
    </row>
    <row r="9" spans="1:25" ht="15" customHeight="1" x14ac:dyDescent="0.3">
      <c r="A9" s="27"/>
      <c r="B9" s="159"/>
      <c r="C9" s="34"/>
      <c r="D9" s="34"/>
      <c r="E9" s="34"/>
      <c r="F9" s="34"/>
      <c r="G9" s="34"/>
      <c r="H9" s="35"/>
      <c r="I9" s="160"/>
      <c r="J9" s="243"/>
      <c r="K9" s="177"/>
      <c r="L9" s="35"/>
      <c r="M9" s="35"/>
      <c r="N9" s="160"/>
      <c r="O9" s="32"/>
      <c r="P9" s="217"/>
      <c r="Q9" s="212"/>
      <c r="R9" s="212"/>
      <c r="S9" s="177"/>
      <c r="T9" s="35"/>
      <c r="U9" s="35"/>
      <c r="V9" s="35"/>
      <c r="W9" s="35"/>
      <c r="X9" s="160"/>
      <c r="Y9" s="164"/>
    </row>
    <row r="10" spans="1:25" x14ac:dyDescent="0.3">
      <c r="A10" s="92" t="s">
        <v>110</v>
      </c>
      <c r="B10" s="342">
        <v>0</v>
      </c>
      <c r="C10" s="93">
        <f>B36</f>
        <v>0</v>
      </c>
      <c r="D10" s="93">
        <f t="shared" ref="D10:N10" si="3">C36</f>
        <v>0</v>
      </c>
      <c r="E10" s="93">
        <f t="shared" si="3"/>
        <v>0</v>
      </c>
      <c r="F10" s="93">
        <f t="shared" si="3"/>
        <v>0</v>
      </c>
      <c r="G10" s="93">
        <f t="shared" si="3"/>
        <v>0</v>
      </c>
      <c r="H10" s="93">
        <f t="shared" si="3"/>
        <v>0</v>
      </c>
      <c r="I10" s="162">
        <f t="shared" si="3"/>
        <v>0</v>
      </c>
      <c r="J10" s="243"/>
      <c r="K10" s="161">
        <f>I36</f>
        <v>0</v>
      </c>
      <c r="L10" s="93">
        <f t="shared" si="3"/>
        <v>0</v>
      </c>
      <c r="M10" s="93">
        <f t="shared" si="3"/>
        <v>0</v>
      </c>
      <c r="N10" s="162">
        <f t="shared" si="3"/>
        <v>0</v>
      </c>
      <c r="P10" s="217"/>
      <c r="Q10" s="92" t="str">
        <f>A10</f>
        <v>Beginning Cash Balance</v>
      </c>
      <c r="R10" s="92"/>
      <c r="S10" s="161">
        <f>B10</f>
        <v>0</v>
      </c>
      <c r="T10" s="93">
        <f>F10</f>
        <v>0</v>
      </c>
      <c r="U10" s="93">
        <f>K10</f>
        <v>0</v>
      </c>
      <c r="V10" s="93">
        <f t="shared" ref="V10:X10" si="4">L10</f>
        <v>0</v>
      </c>
      <c r="W10" s="93">
        <f t="shared" si="4"/>
        <v>0</v>
      </c>
      <c r="X10" s="162">
        <f t="shared" si="4"/>
        <v>0</v>
      </c>
      <c r="Y10" s="164"/>
    </row>
    <row r="11" spans="1:25" x14ac:dyDescent="0.3">
      <c r="B11" s="163"/>
      <c r="C11" s="27"/>
      <c r="D11" s="27"/>
      <c r="E11" s="27"/>
      <c r="F11" s="27"/>
      <c r="G11" s="27"/>
      <c r="H11" s="27"/>
      <c r="I11" s="164"/>
      <c r="J11" s="243"/>
      <c r="K11" s="163"/>
      <c r="L11" s="27"/>
      <c r="M11" s="27"/>
      <c r="N11" s="164"/>
      <c r="O11" s="32"/>
      <c r="P11" s="217"/>
      <c r="S11" s="163"/>
      <c r="T11" s="27"/>
      <c r="U11" s="27"/>
      <c r="V11" s="27"/>
      <c r="W11" s="27"/>
      <c r="X11" s="164"/>
      <c r="Y11" s="164"/>
    </row>
    <row r="12" spans="1:25" s="61" customFormat="1" x14ac:dyDescent="0.3">
      <c r="A12" s="81" t="s">
        <v>112</v>
      </c>
      <c r="B12" s="165"/>
      <c r="C12" s="166"/>
      <c r="D12" s="166"/>
      <c r="E12" s="166"/>
      <c r="F12" s="166"/>
      <c r="G12" s="166"/>
      <c r="H12" s="166"/>
      <c r="I12" s="167"/>
      <c r="J12" s="243"/>
      <c r="K12" s="165"/>
      <c r="L12" s="166"/>
      <c r="M12" s="166"/>
      <c r="N12" s="167"/>
      <c r="P12" s="217"/>
      <c r="Q12" s="81" t="str">
        <f t="shared" ref="Q12:Q36" si="5">A12</f>
        <v>Operating</v>
      </c>
      <c r="R12" s="81"/>
      <c r="S12" s="165"/>
      <c r="T12" s="166"/>
      <c r="U12" s="166"/>
      <c r="V12" s="166"/>
      <c r="W12" s="166"/>
      <c r="X12" s="167"/>
      <c r="Y12" s="164"/>
    </row>
    <row r="13" spans="1:25" x14ac:dyDescent="0.3">
      <c r="A13" s="94" t="s">
        <v>53</v>
      </c>
      <c r="B13" s="168">
        <f>Revenues!B19</f>
        <v>0</v>
      </c>
      <c r="C13" s="82">
        <f>Revenues!C19</f>
        <v>0</v>
      </c>
      <c r="D13" s="82">
        <f>Revenues!D19</f>
        <v>0</v>
      </c>
      <c r="E13" s="82">
        <f>Revenues!E19</f>
        <v>0</v>
      </c>
      <c r="F13" s="82">
        <f>Revenues!F19</f>
        <v>0</v>
      </c>
      <c r="G13" s="82">
        <f>Revenues!G19</f>
        <v>0</v>
      </c>
      <c r="H13" s="82">
        <f>Revenues!H19</f>
        <v>0</v>
      </c>
      <c r="I13" s="169">
        <f>Revenues!I19</f>
        <v>0</v>
      </c>
      <c r="J13" s="243"/>
      <c r="K13" s="168">
        <f>Revenues!K19</f>
        <v>0</v>
      </c>
      <c r="L13" s="82">
        <f>Revenues!L19</f>
        <v>0</v>
      </c>
      <c r="M13" s="82">
        <f>Revenues!M19</f>
        <v>0</v>
      </c>
      <c r="N13" s="169">
        <f>Revenues!N19</f>
        <v>0</v>
      </c>
      <c r="P13" s="217"/>
      <c r="Q13" s="94" t="str">
        <f t="shared" si="5"/>
        <v>Revenues</v>
      </c>
      <c r="R13" s="94"/>
      <c r="S13" s="168">
        <f t="shared" ref="S13:S32" si="6">SUM(B13:E13)</f>
        <v>0</v>
      </c>
      <c r="T13" s="82">
        <f t="shared" ref="T13:T32" si="7">SUM(F13:I13)</f>
        <v>0</v>
      </c>
      <c r="U13" s="82">
        <f t="shared" ref="U13:U34" si="8">K13</f>
        <v>0</v>
      </c>
      <c r="V13" s="82">
        <f t="shared" ref="V13:V36" si="9">L13</f>
        <v>0</v>
      </c>
      <c r="W13" s="82">
        <f t="shared" ref="W13:W36" si="10">M13</f>
        <v>0</v>
      </c>
      <c r="X13" s="169">
        <f t="shared" ref="X13:X36" si="11">N13</f>
        <v>0</v>
      </c>
      <c r="Y13" s="164"/>
    </row>
    <row r="14" spans="1:25" x14ac:dyDescent="0.3">
      <c r="A14" s="95" t="s">
        <v>48</v>
      </c>
      <c r="B14" s="168">
        <f>'Total Expenses'!B9*-1</f>
        <v>0</v>
      </c>
      <c r="C14" s="82">
        <f>'Total Expenses'!C9*-1</f>
        <v>0</v>
      </c>
      <c r="D14" s="82">
        <f>'Total Expenses'!D9*-1</f>
        <v>0</v>
      </c>
      <c r="E14" s="82">
        <f>'Total Expenses'!E9*-1</f>
        <v>0</v>
      </c>
      <c r="F14" s="82">
        <f>'Total Expenses'!F9*-1</f>
        <v>0</v>
      </c>
      <c r="G14" s="82">
        <f>'Total Expenses'!G9*-1</f>
        <v>0</v>
      </c>
      <c r="H14" s="82">
        <f>'Total Expenses'!H9*-1</f>
        <v>0</v>
      </c>
      <c r="I14" s="169">
        <f>'Total Expenses'!I9*-1</f>
        <v>0</v>
      </c>
      <c r="J14" s="243"/>
      <c r="K14" s="168">
        <f>'Total Expenses'!K9*-1</f>
        <v>0</v>
      </c>
      <c r="L14" s="82">
        <f>'Total Expenses'!L9*-1</f>
        <v>0</v>
      </c>
      <c r="M14" s="82">
        <f>'Total Expenses'!M9*-1</f>
        <v>0</v>
      </c>
      <c r="N14" s="169">
        <f>'Total Expenses'!N9*-1</f>
        <v>0</v>
      </c>
      <c r="P14" s="217"/>
      <c r="Q14" s="95" t="str">
        <f t="shared" si="5"/>
        <v>COGS</v>
      </c>
      <c r="R14" s="95"/>
      <c r="S14" s="168">
        <f t="shared" si="6"/>
        <v>0</v>
      </c>
      <c r="T14" s="82">
        <f t="shared" si="7"/>
        <v>0</v>
      </c>
      <c r="U14" s="82">
        <f t="shared" si="8"/>
        <v>0</v>
      </c>
      <c r="V14" s="82">
        <f t="shared" si="9"/>
        <v>0</v>
      </c>
      <c r="W14" s="82">
        <f t="shared" si="10"/>
        <v>0</v>
      </c>
      <c r="X14" s="169">
        <f t="shared" si="11"/>
        <v>0</v>
      </c>
      <c r="Y14" s="164"/>
    </row>
    <row r="15" spans="1:25" s="29" customFormat="1" x14ac:dyDescent="0.3">
      <c r="A15" s="95" t="s">
        <v>43</v>
      </c>
      <c r="B15" s="168">
        <f>'Total Expenses'!B10*-1</f>
        <v>0</v>
      </c>
      <c r="C15" s="82">
        <f>'Total Expenses'!C10*-1</f>
        <v>0</v>
      </c>
      <c r="D15" s="82">
        <f>'Total Expenses'!D10*-1</f>
        <v>0</v>
      </c>
      <c r="E15" s="82">
        <f>'Total Expenses'!E10*-1</f>
        <v>0</v>
      </c>
      <c r="F15" s="82">
        <f>'Total Expenses'!F10*-1</f>
        <v>0</v>
      </c>
      <c r="G15" s="82">
        <f>'Total Expenses'!G10*-1</f>
        <v>0</v>
      </c>
      <c r="H15" s="82">
        <f>'Total Expenses'!H10*-1</f>
        <v>0</v>
      </c>
      <c r="I15" s="169">
        <f>'Total Expenses'!I10*-1</f>
        <v>0</v>
      </c>
      <c r="J15" s="243"/>
      <c r="K15" s="168">
        <f>'Total Expenses'!K10*-1</f>
        <v>0</v>
      </c>
      <c r="L15" s="82">
        <f>'Total Expenses'!L10*-1</f>
        <v>0</v>
      </c>
      <c r="M15" s="82">
        <f>'Total Expenses'!M10*-1</f>
        <v>0</v>
      </c>
      <c r="N15" s="169">
        <f>'Total Expenses'!N10*-1</f>
        <v>0</v>
      </c>
      <c r="P15" s="163"/>
      <c r="Q15" s="95" t="str">
        <f t="shared" si="5"/>
        <v>Operating Expenses</v>
      </c>
      <c r="R15" s="95"/>
      <c r="S15" s="168">
        <f t="shared" si="6"/>
        <v>0</v>
      </c>
      <c r="T15" s="82">
        <f t="shared" si="7"/>
        <v>0</v>
      </c>
      <c r="U15" s="82">
        <f t="shared" si="8"/>
        <v>0</v>
      </c>
      <c r="V15" s="82">
        <f t="shared" si="9"/>
        <v>0</v>
      </c>
      <c r="W15" s="82">
        <f t="shared" si="10"/>
        <v>0</v>
      </c>
      <c r="X15" s="169">
        <f t="shared" si="11"/>
        <v>0</v>
      </c>
      <c r="Y15" s="164"/>
    </row>
    <row r="16" spans="1:25" x14ac:dyDescent="0.3">
      <c r="A16" s="95" t="str">
        <f>'Working Capital'!A36</f>
        <v>Change in Net Working Capital</v>
      </c>
      <c r="B16" s="168">
        <f>'Working Capital'!B36</f>
        <v>0</v>
      </c>
      <c r="C16" s="82">
        <f>'Working Capital'!C36</f>
        <v>0</v>
      </c>
      <c r="D16" s="82">
        <f>'Working Capital'!D36</f>
        <v>0</v>
      </c>
      <c r="E16" s="82">
        <f>'Working Capital'!E36</f>
        <v>0</v>
      </c>
      <c r="F16" s="82">
        <f>'Working Capital'!F36</f>
        <v>0</v>
      </c>
      <c r="G16" s="82">
        <f>'Working Capital'!G36</f>
        <v>0</v>
      </c>
      <c r="H16" s="82">
        <f>'Working Capital'!H36</f>
        <v>0</v>
      </c>
      <c r="I16" s="169">
        <f>'Working Capital'!I36</f>
        <v>0</v>
      </c>
      <c r="J16" s="243"/>
      <c r="K16" s="168">
        <f>'Working Capital'!K36</f>
        <v>0</v>
      </c>
      <c r="L16" s="82">
        <f>'Working Capital'!L36</f>
        <v>0</v>
      </c>
      <c r="M16" s="82">
        <f>'Working Capital'!M36</f>
        <v>0</v>
      </c>
      <c r="N16" s="169">
        <f>'Working Capital'!N36</f>
        <v>0</v>
      </c>
      <c r="P16" s="163"/>
      <c r="Q16" s="95" t="str">
        <f t="shared" si="5"/>
        <v>Change in Net Working Capital</v>
      </c>
      <c r="R16" s="95"/>
      <c r="S16" s="168">
        <f t="shared" si="6"/>
        <v>0</v>
      </c>
      <c r="T16" s="82">
        <f t="shared" si="7"/>
        <v>0</v>
      </c>
      <c r="U16" s="82">
        <f t="shared" si="8"/>
        <v>0</v>
      </c>
      <c r="V16" s="82">
        <f t="shared" si="9"/>
        <v>0</v>
      </c>
      <c r="W16" s="82">
        <f t="shared" si="10"/>
        <v>0</v>
      </c>
      <c r="X16" s="169">
        <f t="shared" si="11"/>
        <v>0</v>
      </c>
      <c r="Y16" s="164"/>
    </row>
    <row r="17" spans="1:25" ht="15" thickBot="1" x14ac:dyDescent="0.35">
      <c r="A17" s="96" t="s">
        <v>107</v>
      </c>
      <c r="B17" s="170">
        <f>'Income Statement'!B24</f>
        <v>0</v>
      </c>
      <c r="C17" s="83">
        <f>'Income Statement'!C24</f>
        <v>0</v>
      </c>
      <c r="D17" s="83">
        <f>'Income Statement'!D24</f>
        <v>0</v>
      </c>
      <c r="E17" s="83">
        <f>'Income Statement'!E24</f>
        <v>0</v>
      </c>
      <c r="F17" s="83">
        <f>'Income Statement'!F24</f>
        <v>0</v>
      </c>
      <c r="G17" s="83">
        <f>'Income Statement'!G24</f>
        <v>0</v>
      </c>
      <c r="H17" s="83">
        <f>'Income Statement'!H24</f>
        <v>0</v>
      </c>
      <c r="I17" s="171">
        <f>'Income Statement'!I24</f>
        <v>0</v>
      </c>
      <c r="J17" s="243"/>
      <c r="K17" s="170">
        <f>'Income Statement'!K24</f>
        <v>0</v>
      </c>
      <c r="L17" s="83">
        <f>'Income Statement'!L24</f>
        <v>0</v>
      </c>
      <c r="M17" s="83">
        <f>'Income Statement'!M24</f>
        <v>0</v>
      </c>
      <c r="N17" s="171">
        <f>'Income Statement'!N24</f>
        <v>0</v>
      </c>
      <c r="P17" s="163"/>
      <c r="Q17" s="96" t="str">
        <f t="shared" si="5"/>
        <v>Taxes</v>
      </c>
      <c r="R17" s="96"/>
      <c r="S17" s="170">
        <f t="shared" si="6"/>
        <v>0</v>
      </c>
      <c r="T17" s="83">
        <f t="shared" si="7"/>
        <v>0</v>
      </c>
      <c r="U17" s="83">
        <f t="shared" si="8"/>
        <v>0</v>
      </c>
      <c r="V17" s="83">
        <f t="shared" si="9"/>
        <v>0</v>
      </c>
      <c r="W17" s="83">
        <f t="shared" si="10"/>
        <v>0</v>
      </c>
      <c r="X17" s="171">
        <f t="shared" si="11"/>
        <v>0</v>
      </c>
      <c r="Y17" s="164"/>
    </row>
    <row r="18" spans="1:25" s="29" customFormat="1" ht="15" thickTop="1" x14ac:dyDescent="0.3">
      <c r="A18" s="85" t="s">
        <v>113</v>
      </c>
      <c r="B18" s="181">
        <f t="shared" ref="B18:I18" si="12">SUM(B13:B17)</f>
        <v>0</v>
      </c>
      <c r="C18" s="182">
        <f t="shared" si="12"/>
        <v>0</v>
      </c>
      <c r="D18" s="182">
        <f t="shared" si="12"/>
        <v>0</v>
      </c>
      <c r="E18" s="182">
        <f t="shared" si="12"/>
        <v>0</v>
      </c>
      <c r="F18" s="182">
        <f t="shared" si="12"/>
        <v>0</v>
      </c>
      <c r="G18" s="182">
        <f t="shared" si="12"/>
        <v>0</v>
      </c>
      <c r="H18" s="182">
        <f t="shared" si="12"/>
        <v>0</v>
      </c>
      <c r="I18" s="183">
        <f t="shared" si="12"/>
        <v>0</v>
      </c>
      <c r="J18" s="243"/>
      <c r="K18" s="181">
        <f>SUM(K13:K17)</f>
        <v>0</v>
      </c>
      <c r="L18" s="182">
        <f>SUM(L13:L17)</f>
        <v>0</v>
      </c>
      <c r="M18" s="182">
        <f>SUM(M13:M17)</f>
        <v>0</v>
      </c>
      <c r="N18" s="183">
        <f>SUM(N13:N17)</f>
        <v>0</v>
      </c>
      <c r="P18" s="163"/>
      <c r="Q18" s="85" t="str">
        <f t="shared" si="5"/>
        <v>Total Operating</v>
      </c>
      <c r="R18" s="85"/>
      <c r="S18" s="181">
        <f t="shared" si="6"/>
        <v>0</v>
      </c>
      <c r="T18" s="182">
        <f t="shared" si="7"/>
        <v>0</v>
      </c>
      <c r="U18" s="182">
        <f t="shared" si="8"/>
        <v>0</v>
      </c>
      <c r="V18" s="182">
        <f t="shared" si="9"/>
        <v>0</v>
      </c>
      <c r="W18" s="182">
        <f t="shared" si="10"/>
        <v>0</v>
      </c>
      <c r="X18" s="183">
        <f t="shared" si="11"/>
        <v>0</v>
      </c>
      <c r="Y18" s="164"/>
    </row>
    <row r="19" spans="1:25" x14ac:dyDescent="0.3">
      <c r="B19" s="163"/>
      <c r="C19" s="27"/>
      <c r="D19" s="27"/>
      <c r="E19" s="27"/>
      <c r="F19" s="27"/>
      <c r="G19" s="27"/>
      <c r="H19" s="27"/>
      <c r="I19" s="164"/>
      <c r="J19" s="243"/>
      <c r="K19" s="163"/>
      <c r="L19" s="27"/>
      <c r="M19" s="27"/>
      <c r="N19" s="164"/>
      <c r="P19" s="163"/>
      <c r="S19" s="163"/>
      <c r="T19" s="27"/>
      <c r="U19" s="27"/>
      <c r="V19" s="27"/>
      <c r="W19" s="27"/>
      <c r="X19" s="164"/>
      <c r="Y19" s="164"/>
    </row>
    <row r="20" spans="1:25" x14ac:dyDescent="0.3">
      <c r="A20" s="81" t="s">
        <v>111</v>
      </c>
      <c r="B20" s="165"/>
      <c r="C20" s="166"/>
      <c r="D20" s="166"/>
      <c r="E20" s="166"/>
      <c r="F20" s="166"/>
      <c r="G20" s="166"/>
      <c r="H20" s="166"/>
      <c r="I20" s="167"/>
      <c r="J20" s="243"/>
      <c r="K20" s="165"/>
      <c r="L20" s="166"/>
      <c r="M20" s="166"/>
      <c r="N20" s="167"/>
      <c r="P20" s="163"/>
      <c r="Q20" s="81" t="str">
        <f t="shared" si="5"/>
        <v>Investing</v>
      </c>
      <c r="R20" s="81"/>
      <c r="S20" s="165"/>
      <c r="T20" s="166"/>
      <c r="U20" s="166"/>
      <c r="V20" s="166"/>
      <c r="W20" s="166"/>
      <c r="X20" s="167"/>
      <c r="Y20" s="164"/>
    </row>
    <row r="21" spans="1:25" x14ac:dyDescent="0.3">
      <c r="A21" s="95" t="s">
        <v>274</v>
      </c>
      <c r="B21" s="168">
        <f>'Capital Expenditures'!B52*-1</f>
        <v>0</v>
      </c>
      <c r="C21" s="82">
        <f>'Capital Expenditures'!C52*-1</f>
        <v>0</v>
      </c>
      <c r="D21" s="82">
        <f>'Capital Expenditures'!D52*-1</f>
        <v>0</v>
      </c>
      <c r="E21" s="82">
        <f>'Capital Expenditures'!E52*-1</f>
        <v>0</v>
      </c>
      <c r="F21" s="82">
        <f>'Capital Expenditures'!F52*-1</f>
        <v>0</v>
      </c>
      <c r="G21" s="82">
        <f>'Capital Expenditures'!G52*-1</f>
        <v>0</v>
      </c>
      <c r="H21" s="82">
        <f>'Capital Expenditures'!H52*-1</f>
        <v>0</v>
      </c>
      <c r="I21" s="169">
        <f>'Capital Expenditures'!I52*-1</f>
        <v>0</v>
      </c>
      <c r="J21" s="243"/>
      <c r="K21" s="168">
        <f>'Capital Expenditures'!K52*-1</f>
        <v>0</v>
      </c>
      <c r="L21" s="82">
        <f>'Capital Expenditures'!L52*-1</f>
        <v>0</v>
      </c>
      <c r="M21" s="82">
        <f>'Capital Expenditures'!M52*-1</f>
        <v>0</v>
      </c>
      <c r="N21" s="169">
        <f>'Capital Expenditures'!N52*-1</f>
        <v>0</v>
      </c>
      <c r="P21" s="163"/>
      <c r="Q21" s="95" t="str">
        <f t="shared" si="5"/>
        <v>Capital Expenses</v>
      </c>
      <c r="R21" s="95"/>
      <c r="S21" s="168">
        <f t="shared" si="6"/>
        <v>0</v>
      </c>
      <c r="T21" s="82">
        <f t="shared" si="7"/>
        <v>0</v>
      </c>
      <c r="U21" s="82">
        <f t="shared" si="8"/>
        <v>0</v>
      </c>
      <c r="V21" s="82">
        <f t="shared" si="9"/>
        <v>0</v>
      </c>
      <c r="W21" s="82">
        <f t="shared" si="10"/>
        <v>0</v>
      </c>
      <c r="X21" s="169">
        <f t="shared" si="11"/>
        <v>0</v>
      </c>
      <c r="Y21" s="164"/>
    </row>
    <row r="22" spans="1:25" ht="15" thickBot="1" x14ac:dyDescent="0.35">
      <c r="A22" s="96" t="s">
        <v>114</v>
      </c>
      <c r="B22" s="170">
        <v>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171">
        <v>0</v>
      </c>
      <c r="J22" s="243"/>
      <c r="K22" s="170">
        <v>0</v>
      </c>
      <c r="L22" s="83">
        <v>0</v>
      </c>
      <c r="M22" s="83">
        <v>0</v>
      </c>
      <c r="N22" s="171">
        <v>0</v>
      </c>
      <c r="P22" s="163"/>
      <c r="Q22" s="96" t="str">
        <f t="shared" si="5"/>
        <v>Other Investments</v>
      </c>
      <c r="R22" s="96"/>
      <c r="S22" s="170">
        <f>SUM(B22:E22)</f>
        <v>0</v>
      </c>
      <c r="T22" s="83">
        <f t="shared" si="7"/>
        <v>0</v>
      </c>
      <c r="U22" s="83">
        <f t="shared" si="8"/>
        <v>0</v>
      </c>
      <c r="V22" s="83">
        <f t="shared" si="9"/>
        <v>0</v>
      </c>
      <c r="W22" s="83">
        <f t="shared" si="10"/>
        <v>0</v>
      </c>
      <c r="X22" s="171">
        <f t="shared" si="11"/>
        <v>0</v>
      </c>
      <c r="Y22" s="164"/>
    </row>
    <row r="23" spans="1:25" s="29" customFormat="1" ht="15" thickTop="1" x14ac:dyDescent="0.3">
      <c r="A23" s="85" t="s">
        <v>115</v>
      </c>
      <c r="B23" s="181">
        <f>SUM(B21:B22)</f>
        <v>0</v>
      </c>
      <c r="C23" s="182">
        <f t="shared" ref="C23:N23" si="13">SUM(C21:C22)</f>
        <v>0</v>
      </c>
      <c r="D23" s="182">
        <f t="shared" si="13"/>
        <v>0</v>
      </c>
      <c r="E23" s="182">
        <f t="shared" si="13"/>
        <v>0</v>
      </c>
      <c r="F23" s="182">
        <f t="shared" si="13"/>
        <v>0</v>
      </c>
      <c r="G23" s="182">
        <f t="shared" si="13"/>
        <v>0</v>
      </c>
      <c r="H23" s="182">
        <f t="shared" si="13"/>
        <v>0</v>
      </c>
      <c r="I23" s="183">
        <f t="shared" si="13"/>
        <v>0</v>
      </c>
      <c r="J23" s="243"/>
      <c r="K23" s="181">
        <f t="shared" si="13"/>
        <v>0</v>
      </c>
      <c r="L23" s="182">
        <f t="shared" si="13"/>
        <v>0</v>
      </c>
      <c r="M23" s="182">
        <f t="shared" si="13"/>
        <v>0</v>
      </c>
      <c r="N23" s="183">
        <f t="shared" si="13"/>
        <v>0</v>
      </c>
      <c r="P23" s="163"/>
      <c r="Q23" s="85" t="str">
        <f t="shared" si="5"/>
        <v>Total Investing</v>
      </c>
      <c r="R23" s="85"/>
      <c r="S23" s="181">
        <f t="shared" si="6"/>
        <v>0</v>
      </c>
      <c r="T23" s="182">
        <f t="shared" si="7"/>
        <v>0</v>
      </c>
      <c r="U23" s="182">
        <f t="shared" si="8"/>
        <v>0</v>
      </c>
      <c r="V23" s="182">
        <f t="shared" si="9"/>
        <v>0</v>
      </c>
      <c r="W23" s="182">
        <f t="shared" si="10"/>
        <v>0</v>
      </c>
      <c r="X23" s="183">
        <f t="shared" si="11"/>
        <v>0</v>
      </c>
      <c r="Y23" s="164"/>
    </row>
    <row r="24" spans="1:25" x14ac:dyDescent="0.3">
      <c r="A24" s="81" t="s">
        <v>256</v>
      </c>
      <c r="B24" s="165"/>
      <c r="C24" s="166"/>
      <c r="D24" s="166"/>
      <c r="E24" s="166"/>
      <c r="F24" s="166"/>
      <c r="G24" s="166"/>
      <c r="H24" s="166"/>
      <c r="I24" s="167"/>
      <c r="J24" s="243"/>
      <c r="K24" s="165"/>
      <c r="L24" s="166"/>
      <c r="M24" s="166"/>
      <c r="N24" s="167"/>
      <c r="P24" s="163"/>
      <c r="Q24" s="81" t="str">
        <f t="shared" ref="Q24" si="14">A24</f>
        <v>Cash flow before financing</v>
      </c>
      <c r="R24" s="81"/>
      <c r="S24" s="165"/>
      <c r="T24" s="166"/>
      <c r="U24" s="166"/>
      <c r="V24" s="166"/>
      <c r="W24" s="166"/>
      <c r="X24" s="167"/>
      <c r="Y24" s="164"/>
    </row>
    <row r="25" spans="1:25" s="29" customFormat="1" x14ac:dyDescent="0.3">
      <c r="A25" s="251" t="s">
        <v>257</v>
      </c>
      <c r="B25" s="204">
        <f t="shared" ref="B25:I25" si="15">B18+B23</f>
        <v>0</v>
      </c>
      <c r="C25" s="205">
        <f t="shared" si="15"/>
        <v>0</v>
      </c>
      <c r="D25" s="205">
        <f t="shared" si="15"/>
        <v>0</v>
      </c>
      <c r="E25" s="205">
        <f t="shared" si="15"/>
        <v>0</v>
      </c>
      <c r="F25" s="205">
        <f t="shared" si="15"/>
        <v>0</v>
      </c>
      <c r="G25" s="205">
        <f t="shared" si="15"/>
        <v>0</v>
      </c>
      <c r="H25" s="205">
        <f t="shared" si="15"/>
        <v>0</v>
      </c>
      <c r="I25" s="205">
        <f t="shared" si="15"/>
        <v>0</v>
      </c>
      <c r="J25" s="243"/>
      <c r="K25" s="204">
        <f>K18+K23</f>
        <v>0</v>
      </c>
      <c r="L25" s="205">
        <f>L18+L23</f>
        <v>0</v>
      </c>
      <c r="M25" s="205">
        <f>M18+M23</f>
        <v>0</v>
      </c>
      <c r="N25" s="252">
        <f>N23+N18</f>
        <v>0</v>
      </c>
      <c r="P25" s="163"/>
      <c r="Q25" s="251" t="str">
        <f>A25</f>
        <v>Cash flows</v>
      </c>
      <c r="R25" s="251"/>
      <c r="S25" s="204">
        <f t="shared" ref="S25:X25" si="16">S18+S23</f>
        <v>0</v>
      </c>
      <c r="T25" s="205">
        <f t="shared" si="16"/>
        <v>0</v>
      </c>
      <c r="U25" s="205">
        <f t="shared" si="16"/>
        <v>0</v>
      </c>
      <c r="V25" s="205">
        <f t="shared" si="16"/>
        <v>0</v>
      </c>
      <c r="W25" s="205">
        <f t="shared" si="16"/>
        <v>0</v>
      </c>
      <c r="X25" s="206">
        <f t="shared" si="16"/>
        <v>0</v>
      </c>
      <c r="Y25" s="164"/>
    </row>
    <row r="26" spans="1:25" s="29" customFormat="1" x14ac:dyDescent="0.3">
      <c r="A26" s="251" t="s">
        <v>258</v>
      </c>
      <c r="B26" s="204">
        <f>B25</f>
        <v>0</v>
      </c>
      <c r="C26" s="205">
        <f t="shared" ref="C26:I26" si="17">B26+C25</f>
        <v>0</v>
      </c>
      <c r="D26" s="205">
        <f t="shared" si="17"/>
        <v>0</v>
      </c>
      <c r="E26" s="205">
        <f t="shared" si="17"/>
        <v>0</v>
      </c>
      <c r="F26" s="205">
        <f t="shared" si="17"/>
        <v>0</v>
      </c>
      <c r="G26" s="205">
        <f t="shared" si="17"/>
        <v>0</v>
      </c>
      <c r="H26" s="205">
        <f t="shared" si="17"/>
        <v>0</v>
      </c>
      <c r="I26" s="205">
        <f t="shared" si="17"/>
        <v>0</v>
      </c>
      <c r="J26" s="243"/>
      <c r="K26" s="204">
        <f>K25</f>
        <v>0</v>
      </c>
      <c r="L26" s="205">
        <f>K26+L25</f>
        <v>0</v>
      </c>
      <c r="M26" s="205">
        <f>L26+M25</f>
        <v>0</v>
      </c>
      <c r="N26" s="252">
        <f>M26+N25</f>
        <v>0</v>
      </c>
      <c r="P26" s="163"/>
      <c r="Q26" s="251" t="str">
        <f>A26</f>
        <v>Ending cash balance</v>
      </c>
      <c r="R26" s="251"/>
      <c r="S26" s="204">
        <f>S25</f>
        <v>0</v>
      </c>
      <c r="T26" s="205">
        <f>S26+T25</f>
        <v>0</v>
      </c>
      <c r="U26" s="205">
        <f>T26+U25</f>
        <v>0</v>
      </c>
      <c r="V26" s="205">
        <f>U26+V25</f>
        <v>0</v>
      </c>
      <c r="W26" s="205">
        <f>V26+W25</f>
        <v>0</v>
      </c>
      <c r="X26" s="206">
        <f>W26+X25</f>
        <v>0</v>
      </c>
      <c r="Y26" s="164"/>
    </row>
    <row r="27" spans="1:25" x14ac:dyDescent="0.3">
      <c r="B27" s="163"/>
      <c r="C27" s="27"/>
      <c r="D27" s="27"/>
      <c r="E27" s="27"/>
      <c r="F27" s="27"/>
      <c r="G27" s="27"/>
      <c r="H27" s="27"/>
      <c r="I27" s="164"/>
      <c r="J27" s="243"/>
      <c r="K27" s="163"/>
      <c r="L27" s="27"/>
      <c r="M27" s="27"/>
      <c r="N27" s="164"/>
      <c r="P27" s="163"/>
      <c r="S27" s="163"/>
      <c r="T27" s="27"/>
      <c r="U27" s="27"/>
      <c r="V27" s="27"/>
      <c r="W27" s="27"/>
      <c r="X27" s="164"/>
      <c r="Y27" s="164"/>
    </row>
    <row r="28" spans="1:25" x14ac:dyDescent="0.3">
      <c r="A28" s="81" t="s">
        <v>116</v>
      </c>
      <c r="B28" s="165"/>
      <c r="C28" s="166"/>
      <c r="D28" s="166"/>
      <c r="E28" s="166"/>
      <c r="F28" s="166"/>
      <c r="G28" s="166"/>
      <c r="H28" s="166"/>
      <c r="I28" s="167"/>
      <c r="J28" s="243"/>
      <c r="K28" s="165"/>
      <c r="L28" s="166"/>
      <c r="M28" s="166"/>
      <c r="N28" s="167"/>
      <c r="P28" s="163"/>
      <c r="Q28" s="81" t="str">
        <f t="shared" si="5"/>
        <v>Financing</v>
      </c>
      <c r="R28" s="81"/>
      <c r="S28" s="165"/>
      <c r="T28" s="166"/>
      <c r="U28" s="166"/>
      <c r="V28" s="166"/>
      <c r="W28" s="166"/>
      <c r="X28" s="167"/>
      <c r="Y28" s="164"/>
    </row>
    <row r="29" spans="1:25" x14ac:dyDescent="0.3">
      <c r="A29" s="95" t="s">
        <v>117</v>
      </c>
      <c r="B29" s="168">
        <f>Financing!B37</f>
        <v>0</v>
      </c>
      <c r="C29" s="82">
        <f>Financing!C37</f>
        <v>0</v>
      </c>
      <c r="D29" s="82">
        <f>Financing!D37</f>
        <v>0</v>
      </c>
      <c r="E29" s="82">
        <f>Financing!E37</f>
        <v>0</v>
      </c>
      <c r="F29" s="82">
        <f>Financing!F37</f>
        <v>0</v>
      </c>
      <c r="G29" s="82">
        <f>Financing!G37</f>
        <v>0</v>
      </c>
      <c r="H29" s="82">
        <f>Financing!H37</f>
        <v>0</v>
      </c>
      <c r="I29" s="169">
        <f>Financing!I37</f>
        <v>0</v>
      </c>
      <c r="J29" s="243"/>
      <c r="K29" s="168">
        <f>Financing!K37</f>
        <v>0</v>
      </c>
      <c r="L29" s="82">
        <f>Financing!L37</f>
        <v>0</v>
      </c>
      <c r="M29" s="82">
        <f>Financing!M37</f>
        <v>0</v>
      </c>
      <c r="N29" s="169">
        <f>Financing!N37</f>
        <v>0</v>
      </c>
      <c r="P29" s="163"/>
      <c r="Q29" s="95" t="str">
        <f t="shared" si="5"/>
        <v>Equity Funding</v>
      </c>
      <c r="R29" s="95"/>
      <c r="S29" s="168">
        <f t="shared" si="6"/>
        <v>0</v>
      </c>
      <c r="T29" s="82">
        <f t="shared" si="7"/>
        <v>0</v>
      </c>
      <c r="U29" s="82">
        <f t="shared" si="8"/>
        <v>0</v>
      </c>
      <c r="V29" s="82">
        <f t="shared" si="9"/>
        <v>0</v>
      </c>
      <c r="W29" s="82">
        <f t="shared" si="10"/>
        <v>0</v>
      </c>
      <c r="X29" s="169">
        <f t="shared" si="11"/>
        <v>0</v>
      </c>
      <c r="Y29" s="164"/>
    </row>
    <row r="30" spans="1:25" x14ac:dyDescent="0.3">
      <c r="A30" s="95" t="s">
        <v>119</v>
      </c>
      <c r="B30" s="168">
        <f>Financing!B49</f>
        <v>0</v>
      </c>
      <c r="C30" s="82">
        <f>Financing!C49</f>
        <v>0</v>
      </c>
      <c r="D30" s="82">
        <f>Financing!D49</f>
        <v>0</v>
      </c>
      <c r="E30" s="82">
        <f>Financing!E49</f>
        <v>0</v>
      </c>
      <c r="F30" s="82">
        <f>Financing!F49</f>
        <v>0</v>
      </c>
      <c r="G30" s="82">
        <f>Financing!G49</f>
        <v>0</v>
      </c>
      <c r="H30" s="82">
        <f>Financing!H49</f>
        <v>0</v>
      </c>
      <c r="I30" s="169">
        <f>Financing!I49</f>
        <v>0</v>
      </c>
      <c r="J30" s="243"/>
      <c r="K30" s="168">
        <f>Financing!K49</f>
        <v>0</v>
      </c>
      <c r="L30" s="82">
        <f>Financing!L49</f>
        <v>0</v>
      </c>
      <c r="M30" s="82">
        <f>Financing!M49</f>
        <v>0</v>
      </c>
      <c r="N30" s="169">
        <f>Financing!N49</f>
        <v>0</v>
      </c>
      <c r="P30" s="163"/>
      <c r="Q30" s="95" t="str">
        <f t="shared" si="5"/>
        <v>Change in Debt</v>
      </c>
      <c r="R30" s="95"/>
      <c r="S30" s="168">
        <f t="shared" si="6"/>
        <v>0</v>
      </c>
      <c r="T30" s="82">
        <f t="shared" si="7"/>
        <v>0</v>
      </c>
      <c r="U30" s="82">
        <f t="shared" si="8"/>
        <v>0</v>
      </c>
      <c r="V30" s="82">
        <f t="shared" si="9"/>
        <v>0</v>
      </c>
      <c r="W30" s="82">
        <f t="shared" si="10"/>
        <v>0</v>
      </c>
      <c r="X30" s="169">
        <f t="shared" si="11"/>
        <v>0</v>
      </c>
      <c r="Y30" s="164"/>
    </row>
    <row r="31" spans="1:25" ht="15" thickBot="1" x14ac:dyDescent="0.35">
      <c r="A31" s="96" t="s">
        <v>118</v>
      </c>
      <c r="B31" s="170">
        <f>Financing!B62*-1</f>
        <v>0</v>
      </c>
      <c r="C31" s="83">
        <f>Financing!C62*-1</f>
        <v>0</v>
      </c>
      <c r="D31" s="83">
        <f>Financing!D62*-1</f>
        <v>0</v>
      </c>
      <c r="E31" s="83">
        <f>Financing!E62*-1</f>
        <v>0</v>
      </c>
      <c r="F31" s="83">
        <f>Financing!F62*-1</f>
        <v>0</v>
      </c>
      <c r="G31" s="83">
        <f>Financing!G62*-1</f>
        <v>0</v>
      </c>
      <c r="H31" s="83">
        <f>Financing!H62*-1</f>
        <v>0</v>
      </c>
      <c r="I31" s="171">
        <f>Financing!I62*-1</f>
        <v>0</v>
      </c>
      <c r="J31" s="243"/>
      <c r="K31" s="170">
        <f>Financing!K62*-1</f>
        <v>0</v>
      </c>
      <c r="L31" s="83">
        <f>Financing!L62*-1</f>
        <v>0</v>
      </c>
      <c r="M31" s="83">
        <f>Financing!M62*-1</f>
        <v>0</v>
      </c>
      <c r="N31" s="171">
        <f>Financing!N62*-1</f>
        <v>0</v>
      </c>
      <c r="P31" s="163"/>
      <c r="Q31" s="96" t="str">
        <f t="shared" si="5"/>
        <v>Interest Payments</v>
      </c>
      <c r="R31" s="96"/>
      <c r="S31" s="170">
        <f t="shared" si="6"/>
        <v>0</v>
      </c>
      <c r="T31" s="83">
        <f t="shared" si="7"/>
        <v>0</v>
      </c>
      <c r="U31" s="83">
        <f t="shared" si="8"/>
        <v>0</v>
      </c>
      <c r="V31" s="83">
        <f t="shared" si="9"/>
        <v>0</v>
      </c>
      <c r="W31" s="83">
        <f t="shared" si="10"/>
        <v>0</v>
      </c>
      <c r="X31" s="171">
        <f t="shared" si="11"/>
        <v>0</v>
      </c>
      <c r="Y31" s="164"/>
    </row>
    <row r="32" spans="1:25" s="29" customFormat="1" ht="15" thickTop="1" x14ac:dyDescent="0.3">
      <c r="A32" s="85" t="s">
        <v>120</v>
      </c>
      <c r="B32" s="181">
        <f>SUM(B29:B31)</f>
        <v>0</v>
      </c>
      <c r="C32" s="182">
        <f t="shared" ref="C32:N32" si="18">SUM(C29:C31)</f>
        <v>0</v>
      </c>
      <c r="D32" s="182">
        <f t="shared" si="18"/>
        <v>0</v>
      </c>
      <c r="E32" s="182">
        <f t="shared" si="18"/>
        <v>0</v>
      </c>
      <c r="F32" s="182">
        <f t="shared" si="18"/>
        <v>0</v>
      </c>
      <c r="G32" s="182">
        <f t="shared" si="18"/>
        <v>0</v>
      </c>
      <c r="H32" s="182">
        <f t="shared" si="18"/>
        <v>0</v>
      </c>
      <c r="I32" s="183">
        <f t="shared" si="18"/>
        <v>0</v>
      </c>
      <c r="J32" s="243"/>
      <c r="K32" s="181">
        <f t="shared" si="18"/>
        <v>0</v>
      </c>
      <c r="L32" s="182">
        <f t="shared" si="18"/>
        <v>0</v>
      </c>
      <c r="M32" s="182">
        <f t="shared" si="18"/>
        <v>0</v>
      </c>
      <c r="N32" s="183">
        <f t="shared" si="18"/>
        <v>0</v>
      </c>
      <c r="P32" s="163"/>
      <c r="Q32" s="85" t="str">
        <f t="shared" si="5"/>
        <v>Total Financing</v>
      </c>
      <c r="R32" s="85"/>
      <c r="S32" s="181">
        <f t="shared" si="6"/>
        <v>0</v>
      </c>
      <c r="T32" s="182">
        <f t="shared" si="7"/>
        <v>0</v>
      </c>
      <c r="U32" s="182">
        <f t="shared" si="8"/>
        <v>0</v>
      </c>
      <c r="V32" s="182">
        <f t="shared" si="9"/>
        <v>0</v>
      </c>
      <c r="W32" s="182">
        <f t="shared" si="10"/>
        <v>0</v>
      </c>
      <c r="X32" s="183">
        <f t="shared" si="11"/>
        <v>0</v>
      </c>
      <c r="Y32" s="164"/>
    </row>
    <row r="33" spans="1:25" ht="15" thickBot="1" x14ac:dyDescent="0.35">
      <c r="B33" s="163"/>
      <c r="C33" s="27"/>
      <c r="D33" s="27"/>
      <c r="E33" s="27"/>
      <c r="F33" s="27"/>
      <c r="G33" s="27"/>
      <c r="H33" s="27"/>
      <c r="I33" s="164"/>
      <c r="J33" s="243"/>
      <c r="K33" s="163"/>
      <c r="L33" s="27"/>
      <c r="M33" s="27"/>
      <c r="N33" s="164"/>
      <c r="P33" s="163"/>
      <c r="S33" s="163"/>
      <c r="T33" s="27"/>
      <c r="U33" s="27"/>
      <c r="V33" s="27"/>
      <c r="W33" s="27"/>
      <c r="X33" s="164"/>
      <c r="Y33" s="164"/>
    </row>
    <row r="34" spans="1:25" ht="15.6" thickTop="1" thickBot="1" x14ac:dyDescent="0.35">
      <c r="A34" s="90" t="s">
        <v>121</v>
      </c>
      <c r="B34" s="175">
        <f>SUM(B18,B23,B32)</f>
        <v>0</v>
      </c>
      <c r="C34" s="91">
        <f t="shared" ref="C34:N34" si="19">SUM(C18,C23,C32)</f>
        <v>0</v>
      </c>
      <c r="D34" s="91">
        <f t="shared" si="19"/>
        <v>0</v>
      </c>
      <c r="E34" s="91">
        <f t="shared" si="19"/>
        <v>0</v>
      </c>
      <c r="F34" s="91">
        <f t="shared" si="19"/>
        <v>0</v>
      </c>
      <c r="G34" s="91">
        <f t="shared" si="19"/>
        <v>0</v>
      </c>
      <c r="H34" s="91">
        <f t="shared" si="19"/>
        <v>0</v>
      </c>
      <c r="I34" s="176">
        <f t="shared" si="19"/>
        <v>0</v>
      </c>
      <c r="J34" s="243"/>
      <c r="K34" s="175">
        <f t="shared" si="19"/>
        <v>0</v>
      </c>
      <c r="L34" s="91">
        <f t="shared" si="19"/>
        <v>0</v>
      </c>
      <c r="M34" s="91">
        <f t="shared" si="19"/>
        <v>0</v>
      </c>
      <c r="N34" s="176">
        <f t="shared" si="19"/>
        <v>0</v>
      </c>
      <c r="P34" s="163"/>
      <c r="Q34" s="90" t="str">
        <f t="shared" si="5"/>
        <v>Cash Flow</v>
      </c>
      <c r="R34" s="90"/>
      <c r="S34" s="175">
        <f>SUM(B34:E34)</f>
        <v>0</v>
      </c>
      <c r="T34" s="91">
        <f>SUM(F34:I34)</f>
        <v>0</v>
      </c>
      <c r="U34" s="91">
        <f t="shared" si="8"/>
        <v>0</v>
      </c>
      <c r="V34" s="91">
        <f t="shared" si="9"/>
        <v>0</v>
      </c>
      <c r="W34" s="91">
        <f t="shared" si="10"/>
        <v>0</v>
      </c>
      <c r="X34" s="176">
        <f t="shared" si="11"/>
        <v>0</v>
      </c>
      <c r="Y34" s="164"/>
    </row>
    <row r="35" spans="1:25" ht="15" thickTop="1" x14ac:dyDescent="0.3">
      <c r="B35" s="163"/>
      <c r="C35" s="27"/>
      <c r="D35" s="27"/>
      <c r="E35" s="27"/>
      <c r="F35" s="27"/>
      <c r="G35" s="27"/>
      <c r="H35" s="27"/>
      <c r="I35" s="164"/>
      <c r="J35" s="243"/>
      <c r="K35" s="163"/>
      <c r="L35" s="27"/>
      <c r="M35" s="27"/>
      <c r="N35" s="164"/>
      <c r="P35" s="163"/>
      <c r="S35" s="163"/>
      <c r="T35" s="27"/>
      <c r="U35" s="27"/>
      <c r="V35" s="27"/>
      <c r="W35" s="27"/>
      <c r="X35" s="164"/>
      <c r="Y35" s="164"/>
    </row>
    <row r="36" spans="1:25" x14ac:dyDescent="0.3">
      <c r="A36" s="42" t="s">
        <v>122</v>
      </c>
      <c r="B36" s="168">
        <f t="shared" ref="B36:I36" si="20">B10+B34</f>
        <v>0</v>
      </c>
      <c r="C36" s="82">
        <f t="shared" si="20"/>
        <v>0</v>
      </c>
      <c r="D36" s="82">
        <f t="shared" si="20"/>
        <v>0</v>
      </c>
      <c r="E36" s="82">
        <f t="shared" si="20"/>
        <v>0</v>
      </c>
      <c r="F36" s="82">
        <f t="shared" si="20"/>
        <v>0</v>
      </c>
      <c r="G36" s="82">
        <f t="shared" si="20"/>
        <v>0</v>
      </c>
      <c r="H36" s="82">
        <f t="shared" si="20"/>
        <v>0</v>
      </c>
      <c r="I36" s="169">
        <f t="shared" si="20"/>
        <v>0</v>
      </c>
      <c r="J36" s="243"/>
      <c r="K36" s="168">
        <f>K10+K34</f>
        <v>0</v>
      </c>
      <c r="L36" s="82">
        <f>L10+L34</f>
        <v>0</v>
      </c>
      <c r="M36" s="82">
        <f>M10+M34</f>
        <v>0</v>
      </c>
      <c r="N36" s="169">
        <f>N10+N34</f>
        <v>0</v>
      </c>
      <c r="P36" s="163"/>
      <c r="Q36" s="42" t="str">
        <f t="shared" si="5"/>
        <v>Ending Cash Balance</v>
      </c>
      <c r="R36" s="42"/>
      <c r="S36" s="168">
        <f>E36</f>
        <v>0</v>
      </c>
      <c r="T36" s="82">
        <f>I36</f>
        <v>0</v>
      </c>
      <c r="U36" s="82">
        <f>K36</f>
        <v>0</v>
      </c>
      <c r="V36" s="82">
        <f t="shared" si="9"/>
        <v>0</v>
      </c>
      <c r="W36" s="82">
        <f t="shared" si="10"/>
        <v>0</v>
      </c>
      <c r="X36" s="169">
        <f t="shared" si="11"/>
        <v>0</v>
      </c>
      <c r="Y36" s="164"/>
    </row>
    <row r="37" spans="1:25" ht="15" thickBot="1" x14ac:dyDescent="0.35">
      <c r="P37" s="125"/>
      <c r="Q37" s="126"/>
      <c r="R37" s="126"/>
      <c r="S37" s="126"/>
      <c r="T37" s="126"/>
      <c r="U37" s="126"/>
      <c r="V37" s="126"/>
      <c r="W37" s="126"/>
      <c r="X37" s="126"/>
      <c r="Y37" s="127"/>
    </row>
    <row r="38" spans="1:25" ht="15" thickTop="1" x14ac:dyDescent="0.3"/>
    <row r="41" spans="1:25" x14ac:dyDescent="0.3">
      <c r="S41" s="254"/>
      <c r="T41" s="254"/>
      <c r="U41" s="254"/>
      <c r="V41" s="254"/>
      <c r="W41" s="254"/>
      <c r="X41" s="254"/>
    </row>
    <row r="42" spans="1:25" x14ac:dyDescent="0.3"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Q42" s="251"/>
      <c r="S42" s="254"/>
      <c r="T42" s="254"/>
      <c r="U42" s="254"/>
      <c r="V42" s="254"/>
      <c r="W42" s="254"/>
      <c r="X42" s="254"/>
    </row>
    <row r="43" spans="1:25" x14ac:dyDescent="0.3"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</row>
    <row r="45" spans="1:25" x14ac:dyDescent="0.3">
      <c r="S45" s="254"/>
      <c r="T45" s="254"/>
      <c r="U45" s="254"/>
      <c r="V45" s="254"/>
      <c r="W45" s="254"/>
      <c r="X45" s="254"/>
    </row>
    <row r="46" spans="1:25" x14ac:dyDescent="0.3">
      <c r="S46" s="254"/>
      <c r="T46" s="254"/>
      <c r="U46" s="254"/>
      <c r="V46" s="254"/>
      <c r="W46" s="254"/>
      <c r="X46" s="254"/>
    </row>
    <row r="47" spans="1:25" x14ac:dyDescent="0.3">
      <c r="S47" s="254"/>
      <c r="T47" s="254"/>
    </row>
  </sheetData>
  <mergeCells count="5">
    <mergeCell ref="S6:X6"/>
    <mergeCell ref="B6:I6"/>
    <mergeCell ref="K6:N6"/>
    <mergeCell ref="B7:E7"/>
    <mergeCell ref="F7:I7"/>
  </mergeCells>
  <conditionalFormatting sqref="B13:I17 K13:N17 S13:X17">
    <cfRule type="cellIs" dxfId="80" priority="42" operator="lessThan">
      <formula>0</formula>
    </cfRule>
  </conditionalFormatting>
  <conditionalFormatting sqref="B21:I22 K21:N22">
    <cfRule type="cellIs" dxfId="79" priority="41" operator="lessThan">
      <formula>0</formula>
    </cfRule>
  </conditionalFormatting>
  <conditionalFormatting sqref="B29:I31 K29:N31">
    <cfRule type="cellIs" dxfId="78" priority="40" operator="lessThan">
      <formula>0</formula>
    </cfRule>
  </conditionalFormatting>
  <conditionalFormatting sqref="B34:I34 K34:N34">
    <cfRule type="cellIs" dxfId="77" priority="39" operator="lessThan">
      <formula>0</formula>
    </cfRule>
  </conditionalFormatting>
  <conditionalFormatting sqref="B36:I36 K36:N36">
    <cfRule type="cellIs" dxfId="76" priority="35" operator="greaterThan">
      <formula>0</formula>
    </cfRule>
    <cfRule type="cellIs" dxfId="75" priority="36" operator="lessThan">
      <formula>0</formula>
    </cfRule>
    <cfRule type="cellIs" dxfId="74" priority="38" operator="lessThan">
      <formula>0</formula>
    </cfRule>
  </conditionalFormatting>
  <conditionalFormatting sqref="B10:I10 K10:N10">
    <cfRule type="cellIs" dxfId="73" priority="37" operator="lessThan">
      <formula>0</formula>
    </cfRule>
  </conditionalFormatting>
  <conditionalFormatting sqref="B18:I18 K18:N18">
    <cfRule type="cellIs" dxfId="72" priority="34" operator="lessThan">
      <formula>0</formula>
    </cfRule>
  </conditionalFormatting>
  <conditionalFormatting sqref="B32:I32 K32:N32">
    <cfRule type="cellIs" dxfId="71" priority="33" operator="lessThan">
      <formula>0</formula>
    </cfRule>
  </conditionalFormatting>
  <conditionalFormatting sqref="B23:I23 K23:N23 B25:I26 K25:M26">
    <cfRule type="cellIs" dxfId="70" priority="32" operator="lessThan">
      <formula>0</formula>
    </cfRule>
  </conditionalFormatting>
  <conditionalFormatting sqref="S21:X22">
    <cfRule type="cellIs" dxfId="69" priority="18" operator="lessThan">
      <formula>0</formula>
    </cfRule>
  </conditionalFormatting>
  <conditionalFormatting sqref="S29:X31">
    <cfRule type="cellIs" dxfId="68" priority="17" operator="lessThan">
      <formula>0</formula>
    </cfRule>
  </conditionalFormatting>
  <conditionalFormatting sqref="S34:X34">
    <cfRule type="cellIs" dxfId="67" priority="16" operator="lessThan">
      <formula>0</formula>
    </cfRule>
  </conditionalFormatting>
  <conditionalFormatting sqref="S36:X36">
    <cfRule type="cellIs" dxfId="66" priority="12" operator="greaterThan">
      <formula>0</formula>
    </cfRule>
    <cfRule type="cellIs" dxfId="65" priority="13" operator="lessThan">
      <formula>0</formula>
    </cfRule>
    <cfRule type="cellIs" dxfId="64" priority="15" operator="lessThan">
      <formula>0</formula>
    </cfRule>
  </conditionalFormatting>
  <conditionalFormatting sqref="S10:X10">
    <cfRule type="cellIs" dxfId="63" priority="14" operator="lessThan">
      <formula>0</formula>
    </cfRule>
  </conditionalFormatting>
  <conditionalFormatting sqref="S18:X18">
    <cfRule type="cellIs" dxfId="62" priority="11" operator="lessThan">
      <formula>0</formula>
    </cfRule>
  </conditionalFormatting>
  <conditionalFormatting sqref="S32:X32">
    <cfRule type="cellIs" dxfId="61" priority="10" operator="lessThan">
      <formula>0</formula>
    </cfRule>
  </conditionalFormatting>
  <conditionalFormatting sqref="S23:X23 S26:X26">
    <cfRule type="cellIs" dxfId="60" priority="9" operator="lessThan">
      <formula>0</formula>
    </cfRule>
  </conditionalFormatting>
  <conditionalFormatting sqref="S25">
    <cfRule type="cellIs" dxfId="59" priority="7" operator="lessThan">
      <formula>0</formula>
    </cfRule>
  </conditionalFormatting>
  <conditionalFormatting sqref="T25">
    <cfRule type="cellIs" dxfId="58" priority="6" operator="lessThan">
      <formula>0</formula>
    </cfRule>
  </conditionalFormatting>
  <conditionalFormatting sqref="U25">
    <cfRule type="cellIs" dxfId="57" priority="5" operator="lessThan">
      <formula>0</formula>
    </cfRule>
  </conditionalFormatting>
  <conditionalFormatting sqref="V25">
    <cfRule type="cellIs" dxfId="56" priority="4" operator="lessThan">
      <formula>0</formula>
    </cfRule>
  </conditionalFormatting>
  <conditionalFormatting sqref="W25">
    <cfRule type="cellIs" dxfId="55" priority="3" operator="lessThan">
      <formula>0</formula>
    </cfRule>
  </conditionalFormatting>
  <conditionalFormatting sqref="X25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 verticalDpi="0" r:id="rId1"/>
  <ignoredErrors>
    <ignoredError sqref="S22:T22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27"/>
  <sheetViews>
    <sheetView workbookViewId="0">
      <selection activeCell="B10" sqref="B10"/>
    </sheetView>
  </sheetViews>
  <sheetFormatPr defaultRowHeight="14.4" x14ac:dyDescent="0.3"/>
  <cols>
    <col min="1" max="1" width="34.5546875" bestFit="1" customWidth="1"/>
    <col min="2" max="9" width="11.77734375" customWidth="1"/>
    <col min="10" max="10" width="9.6640625" bestFit="1" customWidth="1"/>
    <col min="11" max="14" width="11.77734375" customWidth="1"/>
    <col min="15" max="15" width="10" customWidth="1"/>
    <col min="16" max="16" width="3.77734375" customWidth="1"/>
    <col min="17" max="17" width="26.44140625" customWidth="1"/>
    <col min="18" max="23" width="11.77734375" customWidth="1"/>
    <col min="24" max="24" width="3.77734375" customWidth="1"/>
  </cols>
  <sheetData>
    <row r="1" spans="1:24" ht="24.6" thickTop="1" thickBot="1" x14ac:dyDescent="0.5">
      <c r="A1" s="38" t="s">
        <v>123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38" t="str">
        <f>CompanyName &amp;" Annual Income Statement"</f>
        <v>WorkHorse Annual Income Statement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"All Values in "&amp;SubHeader</f>
        <v>All Values in USD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/>
      <c r="R3" s="27"/>
      <c r="S3" s="27"/>
      <c r="T3" s="27"/>
      <c r="U3" s="27"/>
      <c r="V3" s="27"/>
      <c r="W3" s="27"/>
      <c r="X3" s="164"/>
    </row>
    <row r="4" spans="1:24" ht="15" customHeight="1" x14ac:dyDescent="0.35">
      <c r="A4" s="27"/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18" t="s">
        <v>211</v>
      </c>
      <c r="R4" s="27"/>
      <c r="S4" s="27"/>
      <c r="T4" s="27"/>
      <c r="U4" s="27"/>
      <c r="V4" s="27"/>
      <c r="W4" s="27"/>
      <c r="X4" s="164"/>
    </row>
    <row r="5" spans="1:24" ht="19.8" x14ac:dyDescent="0.4">
      <c r="A5" s="41" t="s">
        <v>173</v>
      </c>
      <c r="O5" s="32"/>
      <c r="P5" s="219"/>
      <c r="X5" s="220"/>
    </row>
    <row r="6" spans="1:24" ht="15" customHeight="1" x14ac:dyDescent="0.3">
      <c r="A6" s="36"/>
      <c r="B6" s="343" t="s">
        <v>171</v>
      </c>
      <c r="C6" s="344"/>
      <c r="D6" s="344"/>
      <c r="E6" s="344"/>
      <c r="F6" s="344"/>
      <c r="G6" s="344"/>
      <c r="H6" s="344"/>
      <c r="I6" s="345"/>
      <c r="J6" s="243"/>
      <c r="K6" s="351" t="s">
        <v>172</v>
      </c>
      <c r="L6" s="352"/>
      <c r="M6" s="352"/>
      <c r="N6" s="353"/>
      <c r="O6" s="32"/>
      <c r="P6" s="217"/>
      <c r="R6" s="360" t="s">
        <v>212</v>
      </c>
      <c r="S6" s="361"/>
      <c r="T6" s="361"/>
      <c r="U6" s="361"/>
      <c r="V6" s="361"/>
      <c r="W6" s="362"/>
      <c r="X6" s="164"/>
    </row>
    <row r="7" spans="1:24" ht="15" customHeight="1" x14ac:dyDescent="0.3">
      <c r="A7" s="36"/>
      <c r="B7" s="346" t="s">
        <v>205</v>
      </c>
      <c r="C7" s="347"/>
      <c r="D7" s="347"/>
      <c r="E7" s="348"/>
      <c r="F7" s="349" t="s">
        <v>206</v>
      </c>
      <c r="G7" s="347"/>
      <c r="H7" s="347"/>
      <c r="I7" s="350"/>
      <c r="J7" s="243"/>
      <c r="K7" s="108" t="s">
        <v>145</v>
      </c>
      <c r="L7" s="109" t="s">
        <v>146</v>
      </c>
      <c r="M7" s="109" t="s">
        <v>147</v>
      </c>
      <c r="N7" s="110" t="s">
        <v>243</v>
      </c>
      <c r="O7" s="32"/>
      <c r="P7" s="217"/>
      <c r="R7" s="108" t="s">
        <v>205</v>
      </c>
      <c r="S7" s="109" t="s">
        <v>206</v>
      </c>
      <c r="T7" s="109" t="s">
        <v>145</v>
      </c>
      <c r="U7" s="109" t="s">
        <v>146</v>
      </c>
      <c r="V7" s="109" t="s">
        <v>147</v>
      </c>
      <c r="W7" s="110" t="s">
        <v>243</v>
      </c>
      <c r="X7" s="164"/>
    </row>
    <row r="8" spans="1:24" ht="15" customHeight="1" x14ac:dyDescent="0.3">
      <c r="A8" s="92" t="s">
        <v>271</v>
      </c>
      <c r="B8" s="104">
        <f>StartDate</f>
        <v>43921</v>
      </c>
      <c r="C8" s="60">
        <f>EDATE(B8,3)</f>
        <v>44012</v>
      </c>
      <c r="D8" s="60">
        <f t="shared" ref="D8:I8" si="0">EDATE(C8,3)</f>
        <v>44104</v>
      </c>
      <c r="E8" s="60">
        <f t="shared" si="0"/>
        <v>44195</v>
      </c>
      <c r="F8" s="60">
        <f t="shared" si="0"/>
        <v>44285</v>
      </c>
      <c r="G8" s="60">
        <f t="shared" si="0"/>
        <v>44377</v>
      </c>
      <c r="H8" s="60">
        <f t="shared" si="0"/>
        <v>44469</v>
      </c>
      <c r="I8" s="100">
        <f t="shared" si="0"/>
        <v>44560</v>
      </c>
      <c r="J8" s="243"/>
      <c r="K8" s="104">
        <f>EDATE(I8,3)</f>
        <v>44650</v>
      </c>
      <c r="L8" s="60">
        <f t="shared" ref="L8:N8" si="1">EDATE(K8,12)</f>
        <v>45015</v>
      </c>
      <c r="M8" s="60">
        <f t="shared" si="1"/>
        <v>45381</v>
      </c>
      <c r="N8" s="107">
        <f t="shared" si="1"/>
        <v>45746</v>
      </c>
      <c r="O8" s="32"/>
      <c r="P8" s="217"/>
      <c r="Q8" s="92" t="s">
        <v>271</v>
      </c>
      <c r="R8" s="104">
        <f>B8</f>
        <v>43921</v>
      </c>
      <c r="S8" s="60">
        <f>F8</f>
        <v>44285</v>
      </c>
      <c r="T8" s="60">
        <f>K8</f>
        <v>44650</v>
      </c>
      <c r="U8" s="60">
        <f t="shared" ref="U8:W8" si="2">L8</f>
        <v>45015</v>
      </c>
      <c r="V8" s="60">
        <f t="shared" si="2"/>
        <v>45381</v>
      </c>
      <c r="W8" s="107">
        <f t="shared" si="2"/>
        <v>45746</v>
      </c>
      <c r="X8" s="164"/>
    </row>
    <row r="9" spans="1:24" ht="15" customHeight="1" x14ac:dyDescent="0.3">
      <c r="A9" s="27"/>
      <c r="B9" s="159"/>
      <c r="C9" s="34"/>
      <c r="D9" s="34"/>
      <c r="E9" s="34"/>
      <c r="F9" s="34"/>
      <c r="G9" s="34"/>
      <c r="H9" s="35"/>
      <c r="I9" s="160"/>
      <c r="J9" s="243"/>
      <c r="K9" s="177"/>
      <c r="L9" s="35"/>
      <c r="M9" s="35"/>
      <c r="N9" s="160"/>
      <c r="O9" s="32"/>
      <c r="P9" s="217"/>
      <c r="Q9" s="212"/>
      <c r="R9" s="177"/>
      <c r="S9" s="35"/>
      <c r="T9" s="35"/>
      <c r="U9" s="35"/>
      <c r="V9" s="35"/>
      <c r="W9" s="160"/>
      <c r="X9" s="164"/>
    </row>
    <row r="10" spans="1:24" x14ac:dyDescent="0.3">
      <c r="A10" s="42" t="s">
        <v>53</v>
      </c>
      <c r="B10" s="168">
        <f>Revenues!B19</f>
        <v>0</v>
      </c>
      <c r="C10" s="82">
        <f>Revenues!C19</f>
        <v>0</v>
      </c>
      <c r="D10" s="82">
        <f>Revenues!D19</f>
        <v>0</v>
      </c>
      <c r="E10" s="82">
        <f>Revenues!E19</f>
        <v>0</v>
      </c>
      <c r="F10" s="82">
        <f>Revenues!F19</f>
        <v>0</v>
      </c>
      <c r="G10" s="82">
        <f>Revenues!G19</f>
        <v>0</v>
      </c>
      <c r="H10" s="82">
        <f>Revenues!H19</f>
        <v>0</v>
      </c>
      <c r="I10" s="169">
        <f>Revenues!I19</f>
        <v>0</v>
      </c>
      <c r="J10" s="283" t="s">
        <v>224</v>
      </c>
      <c r="K10" s="168">
        <f>Revenues!K19</f>
        <v>0</v>
      </c>
      <c r="L10" s="82">
        <f>Revenues!L19</f>
        <v>0</v>
      </c>
      <c r="M10" s="82">
        <f>Revenues!M19</f>
        <v>0</v>
      </c>
      <c r="N10" s="169">
        <f>Revenues!N19</f>
        <v>0</v>
      </c>
      <c r="P10" s="217"/>
      <c r="Q10" s="212" t="str">
        <f>A10</f>
        <v>Revenues</v>
      </c>
      <c r="R10" s="168">
        <f>SUM(B10:E10)</f>
        <v>0</v>
      </c>
      <c r="S10" s="82">
        <f>SUM(F10:I10)</f>
        <v>0</v>
      </c>
      <c r="T10" s="82">
        <f>K10</f>
        <v>0</v>
      </c>
      <c r="U10" s="82">
        <f t="shared" ref="U10:W10" si="3">L10</f>
        <v>0</v>
      </c>
      <c r="V10" s="82">
        <f t="shared" si="3"/>
        <v>0</v>
      </c>
      <c r="W10" s="169">
        <f t="shared" si="3"/>
        <v>0</v>
      </c>
      <c r="X10" s="164"/>
    </row>
    <row r="11" spans="1:24" ht="15" thickBot="1" x14ac:dyDescent="0.35">
      <c r="A11" s="78" t="s">
        <v>48</v>
      </c>
      <c r="B11" s="170">
        <f>'Total Expenses'!B9*-1</f>
        <v>0</v>
      </c>
      <c r="C11" s="83">
        <f>'Total Expenses'!C9*-1</f>
        <v>0</v>
      </c>
      <c r="D11" s="83">
        <f>'Total Expenses'!D9*-1</f>
        <v>0</v>
      </c>
      <c r="E11" s="83">
        <f>'Total Expenses'!E9*-1</f>
        <v>0</v>
      </c>
      <c r="F11" s="83">
        <f>'Total Expenses'!F9*-1</f>
        <v>0</v>
      </c>
      <c r="G11" s="83">
        <f>'Total Expenses'!G9*-1</f>
        <v>0</v>
      </c>
      <c r="H11" s="83">
        <f>'Total Expenses'!H9*-1</f>
        <v>0</v>
      </c>
      <c r="I11" s="171">
        <f>'Total Expenses'!I9*-1</f>
        <v>0</v>
      </c>
      <c r="J11" s="283" t="s">
        <v>224</v>
      </c>
      <c r="K11" s="170">
        <f>'Total Expenses'!K9*-1</f>
        <v>0</v>
      </c>
      <c r="L11" s="83">
        <f>'Total Expenses'!L9*-1</f>
        <v>0</v>
      </c>
      <c r="M11" s="83">
        <f>'Total Expenses'!M9*-1</f>
        <v>0</v>
      </c>
      <c r="N11" s="171">
        <f>'Total Expenses'!N9*-1</f>
        <v>0</v>
      </c>
      <c r="P11" s="217"/>
      <c r="Q11" s="212" t="str">
        <f t="shared" ref="Q11:Q25" si="4">A11</f>
        <v>COGS</v>
      </c>
      <c r="R11" s="170">
        <f t="shared" ref="R11:R25" si="5">SUM(B11:E11)</f>
        <v>0</v>
      </c>
      <c r="S11" s="83">
        <f t="shared" ref="S11:S25" si="6">SUM(F11:I11)</f>
        <v>0</v>
      </c>
      <c r="T11" s="83">
        <f t="shared" ref="T11:T25" si="7">K11</f>
        <v>0</v>
      </c>
      <c r="U11" s="83">
        <f t="shared" ref="U11:U25" si="8">L11</f>
        <v>0</v>
      </c>
      <c r="V11" s="83">
        <f t="shared" ref="V11:V25" si="9">M11</f>
        <v>0</v>
      </c>
      <c r="W11" s="171">
        <f t="shared" ref="W11:W25" si="10">N11</f>
        <v>0</v>
      </c>
      <c r="X11" s="164"/>
    </row>
    <row r="12" spans="1:24" s="29" customFormat="1" ht="15" thickTop="1" x14ac:dyDescent="0.3">
      <c r="A12" s="84" t="s">
        <v>105</v>
      </c>
      <c r="B12" s="172">
        <f>SUM(B10:B11)</f>
        <v>0</v>
      </c>
      <c r="C12" s="173">
        <f t="shared" ref="C12:N12" si="11">SUM(C10:C11)</f>
        <v>0</v>
      </c>
      <c r="D12" s="173">
        <f t="shared" si="11"/>
        <v>0</v>
      </c>
      <c r="E12" s="173">
        <f t="shared" si="11"/>
        <v>0</v>
      </c>
      <c r="F12" s="173">
        <f t="shared" si="11"/>
        <v>0</v>
      </c>
      <c r="G12" s="173">
        <f t="shared" si="11"/>
        <v>0</v>
      </c>
      <c r="H12" s="173">
        <f t="shared" si="11"/>
        <v>0</v>
      </c>
      <c r="I12" s="174">
        <f t="shared" si="11"/>
        <v>0</v>
      </c>
      <c r="J12" s="243"/>
      <c r="K12" s="172">
        <f t="shared" si="11"/>
        <v>0</v>
      </c>
      <c r="L12" s="173">
        <f t="shared" si="11"/>
        <v>0</v>
      </c>
      <c r="M12" s="173">
        <f t="shared" si="11"/>
        <v>0</v>
      </c>
      <c r="N12" s="174">
        <f t="shared" si="11"/>
        <v>0</v>
      </c>
      <c r="P12" s="217"/>
      <c r="Q12" s="212" t="str">
        <f t="shared" si="4"/>
        <v>Gross Profit</v>
      </c>
      <c r="R12" s="172">
        <f t="shared" si="5"/>
        <v>0</v>
      </c>
      <c r="S12" s="173">
        <f>S10+S11</f>
        <v>0</v>
      </c>
      <c r="T12" s="173">
        <f t="shared" si="7"/>
        <v>0</v>
      </c>
      <c r="U12" s="173">
        <f t="shared" si="8"/>
        <v>0</v>
      </c>
      <c r="V12" s="173">
        <f t="shared" si="9"/>
        <v>0</v>
      </c>
      <c r="W12" s="174">
        <f t="shared" si="10"/>
        <v>0</v>
      </c>
      <c r="X12" s="164"/>
    </row>
    <row r="13" spans="1:24" s="29" customFormat="1" x14ac:dyDescent="0.3">
      <c r="A13" s="84" t="s">
        <v>106</v>
      </c>
      <c r="B13" s="178">
        <f>IF(B12&gt;0,B12/B10,0)</f>
        <v>0</v>
      </c>
      <c r="C13" s="179">
        <f t="shared" ref="C13:N13" si="12">IF(C12&gt;0,C12/C10,0)</f>
        <v>0</v>
      </c>
      <c r="D13" s="179">
        <f t="shared" si="12"/>
        <v>0</v>
      </c>
      <c r="E13" s="179">
        <f t="shared" si="12"/>
        <v>0</v>
      </c>
      <c r="F13" s="179">
        <f t="shared" si="12"/>
        <v>0</v>
      </c>
      <c r="G13" s="179">
        <f t="shared" si="12"/>
        <v>0</v>
      </c>
      <c r="H13" s="179">
        <f t="shared" si="12"/>
        <v>0</v>
      </c>
      <c r="I13" s="180">
        <f t="shared" si="12"/>
        <v>0</v>
      </c>
      <c r="J13" s="243"/>
      <c r="K13" s="178">
        <f t="shared" si="12"/>
        <v>0</v>
      </c>
      <c r="L13" s="179">
        <f t="shared" si="12"/>
        <v>0</v>
      </c>
      <c r="M13" s="179">
        <f t="shared" si="12"/>
        <v>0</v>
      </c>
      <c r="N13" s="180">
        <f t="shared" si="12"/>
        <v>0</v>
      </c>
      <c r="P13" s="217"/>
      <c r="Q13" t="str">
        <f t="shared" si="4"/>
        <v>Gross Margin</v>
      </c>
      <c r="R13" s="179">
        <f t="shared" ref="R13" si="13">IF(R12&gt;0,R12/R10,0)</f>
        <v>0</v>
      </c>
      <c r="S13" s="179">
        <f t="shared" ref="S13" si="14">IF(S12&gt;0,S12/S10,0)</f>
        <v>0</v>
      </c>
      <c r="T13" s="179">
        <f t="shared" si="7"/>
        <v>0</v>
      </c>
      <c r="U13" s="179">
        <f t="shared" si="8"/>
        <v>0</v>
      </c>
      <c r="V13" s="179">
        <f t="shared" si="9"/>
        <v>0</v>
      </c>
      <c r="W13" s="180">
        <f t="shared" si="10"/>
        <v>0</v>
      </c>
      <c r="X13" s="164"/>
    </row>
    <row r="14" spans="1:24" x14ac:dyDescent="0.3">
      <c r="B14" s="163"/>
      <c r="C14" s="27"/>
      <c r="D14" s="27"/>
      <c r="E14" s="27"/>
      <c r="F14" s="27"/>
      <c r="G14" s="27"/>
      <c r="H14" s="27"/>
      <c r="I14" s="164"/>
      <c r="J14" s="243"/>
      <c r="K14" s="163"/>
      <c r="L14" s="27"/>
      <c r="M14" s="27"/>
      <c r="N14" s="164"/>
      <c r="P14" s="217"/>
      <c r="R14" s="163"/>
      <c r="S14" s="27"/>
      <c r="T14" s="27"/>
      <c r="U14" s="27"/>
      <c r="V14" s="27"/>
      <c r="W14" s="164"/>
      <c r="X14" s="164"/>
    </row>
    <row r="15" spans="1:24" ht="15" thickBot="1" x14ac:dyDescent="0.35">
      <c r="A15" s="42" t="s">
        <v>43</v>
      </c>
      <c r="B15" s="168">
        <f>'Total Expenses'!B10*-1</f>
        <v>0</v>
      </c>
      <c r="C15" s="82">
        <f>'Total Expenses'!C10*-1</f>
        <v>0</v>
      </c>
      <c r="D15" s="82">
        <f>'Total Expenses'!D10*-1</f>
        <v>0</v>
      </c>
      <c r="E15" s="82">
        <f>'Total Expenses'!E10*-1</f>
        <v>0</v>
      </c>
      <c r="F15" s="82">
        <f>'Total Expenses'!F10*-1</f>
        <v>0</v>
      </c>
      <c r="G15" s="82">
        <f>'Total Expenses'!G10*-1</f>
        <v>0</v>
      </c>
      <c r="H15" s="82">
        <f>'Total Expenses'!H10*-1</f>
        <v>0</v>
      </c>
      <c r="I15" s="169">
        <f>'Total Expenses'!I10*-1</f>
        <v>0</v>
      </c>
      <c r="J15" s="243"/>
      <c r="K15" s="168">
        <f>'Total Expenses'!K10*-1</f>
        <v>0</v>
      </c>
      <c r="L15" s="82">
        <f>'Total Expenses'!L10*-1</f>
        <v>0</v>
      </c>
      <c r="M15" s="82">
        <f>'Total Expenses'!M10*-1</f>
        <v>0</v>
      </c>
      <c r="N15" s="169">
        <f>'Total Expenses'!N10*-1</f>
        <v>0</v>
      </c>
      <c r="P15" s="163"/>
      <c r="Q15" s="27" t="str">
        <f t="shared" si="4"/>
        <v>Operating Expenses</v>
      </c>
      <c r="R15" s="168">
        <f t="shared" si="5"/>
        <v>0</v>
      </c>
      <c r="S15" s="82">
        <f t="shared" si="6"/>
        <v>0</v>
      </c>
      <c r="T15" s="82">
        <f t="shared" si="7"/>
        <v>0</v>
      </c>
      <c r="U15" s="82">
        <f t="shared" si="8"/>
        <v>0</v>
      </c>
      <c r="V15" s="82">
        <f t="shared" si="9"/>
        <v>0</v>
      </c>
      <c r="W15" s="169">
        <f t="shared" si="10"/>
        <v>0</v>
      </c>
      <c r="X15" s="164"/>
    </row>
    <row r="16" spans="1:24" s="29" customFormat="1" ht="15" thickTop="1" x14ac:dyDescent="0.3">
      <c r="A16" s="85" t="s">
        <v>108</v>
      </c>
      <c r="B16" s="181">
        <f>SUM(B12,B15)</f>
        <v>0</v>
      </c>
      <c r="C16" s="182">
        <f>SUM(C12,C15)</f>
        <v>0</v>
      </c>
      <c r="D16" s="182">
        <f t="shared" ref="D16:H16" si="15">SUM(D12,D15)</f>
        <v>0</v>
      </c>
      <c r="E16" s="182">
        <f t="shared" si="15"/>
        <v>0</v>
      </c>
      <c r="F16" s="182">
        <f t="shared" si="15"/>
        <v>0</v>
      </c>
      <c r="G16" s="182">
        <f t="shared" si="15"/>
        <v>0</v>
      </c>
      <c r="H16" s="182">
        <f t="shared" si="15"/>
        <v>0</v>
      </c>
      <c r="I16" s="183">
        <f>SUM(I12,I15)</f>
        <v>0</v>
      </c>
      <c r="J16" s="243"/>
      <c r="K16" s="181">
        <f>SUM(K12,K15)</f>
        <v>0</v>
      </c>
      <c r="L16" s="182">
        <f>SUM(L12,L15)</f>
        <v>0</v>
      </c>
      <c r="M16" s="182">
        <f>SUM(M12,M15)</f>
        <v>0</v>
      </c>
      <c r="N16" s="183">
        <f>SUM(N12,N15)</f>
        <v>0</v>
      </c>
      <c r="P16" s="163"/>
      <c r="Q16" s="27" t="str">
        <f t="shared" si="4"/>
        <v>EBITDA</v>
      </c>
      <c r="R16" s="182">
        <f t="shared" ref="R16:S16" si="16">SUM(R12,R15)</f>
        <v>0</v>
      </c>
      <c r="S16" s="182">
        <f t="shared" si="16"/>
        <v>0</v>
      </c>
      <c r="T16" s="182">
        <f t="shared" si="7"/>
        <v>0</v>
      </c>
      <c r="U16" s="182">
        <f t="shared" si="8"/>
        <v>0</v>
      </c>
      <c r="V16" s="182">
        <f t="shared" si="9"/>
        <v>0</v>
      </c>
      <c r="W16" s="183">
        <f t="shared" si="10"/>
        <v>0</v>
      </c>
      <c r="X16" s="164"/>
    </row>
    <row r="17" spans="1:24" s="29" customFormat="1" x14ac:dyDescent="0.3">
      <c r="A17" s="84"/>
      <c r="B17" s="172"/>
      <c r="C17" s="173"/>
      <c r="D17" s="173"/>
      <c r="E17" s="173"/>
      <c r="F17" s="173"/>
      <c r="G17" s="173"/>
      <c r="H17" s="173"/>
      <c r="I17" s="174"/>
      <c r="J17" s="243"/>
      <c r="K17" s="172"/>
      <c r="L17" s="173"/>
      <c r="M17" s="173"/>
      <c r="N17" s="174"/>
      <c r="P17" s="163"/>
      <c r="Q17" s="27"/>
      <c r="R17" s="172"/>
      <c r="S17" s="173"/>
      <c r="T17" s="173"/>
      <c r="U17" s="173"/>
      <c r="V17" s="173"/>
      <c r="W17" s="174"/>
      <c r="X17" s="164"/>
    </row>
    <row r="18" spans="1:24" ht="15" thickBot="1" x14ac:dyDescent="0.35">
      <c r="A18" s="78" t="s">
        <v>230</v>
      </c>
      <c r="B18" s="170">
        <f>'Total Expenses'!B11*-1</f>
        <v>0</v>
      </c>
      <c r="C18" s="83">
        <f>'Total Expenses'!C11*-1</f>
        <v>0</v>
      </c>
      <c r="D18" s="83">
        <f>'Total Expenses'!D11*-1</f>
        <v>0</v>
      </c>
      <c r="E18" s="83">
        <f>'Total Expenses'!E11*-1</f>
        <v>0</v>
      </c>
      <c r="F18" s="83">
        <f>'Total Expenses'!F11*-1</f>
        <v>0</v>
      </c>
      <c r="G18" s="83">
        <f>'Total Expenses'!G11*-1</f>
        <v>0</v>
      </c>
      <c r="H18" s="83">
        <f>'Total Expenses'!H11*-1</f>
        <v>0</v>
      </c>
      <c r="I18" s="171">
        <f>'Total Expenses'!I11*-1</f>
        <v>0</v>
      </c>
      <c r="J18" s="243"/>
      <c r="K18" s="170">
        <f>'Total Expenses'!K11*-1</f>
        <v>0</v>
      </c>
      <c r="L18" s="83">
        <f>'Total Expenses'!L11*-1</f>
        <v>0</v>
      </c>
      <c r="M18" s="83">
        <f>'Total Expenses'!M11*-1</f>
        <v>0</v>
      </c>
      <c r="N18" s="171">
        <f>'Total Expenses'!N11*-1</f>
        <v>0</v>
      </c>
      <c r="P18" s="163"/>
      <c r="Q18" s="27" t="str">
        <f t="shared" si="4"/>
        <v>Depreciation/Amortisation</v>
      </c>
      <c r="R18" s="170">
        <f t="shared" si="5"/>
        <v>0</v>
      </c>
      <c r="S18" s="83">
        <f t="shared" si="6"/>
        <v>0</v>
      </c>
      <c r="T18" s="83">
        <f t="shared" si="7"/>
        <v>0</v>
      </c>
      <c r="U18" s="83">
        <f t="shared" si="8"/>
        <v>0</v>
      </c>
      <c r="V18" s="83">
        <f t="shared" si="9"/>
        <v>0</v>
      </c>
      <c r="W18" s="171">
        <f t="shared" si="10"/>
        <v>0</v>
      </c>
      <c r="X18" s="164"/>
    </row>
    <row r="19" spans="1:24" ht="15" thickTop="1" x14ac:dyDescent="0.3">
      <c r="A19" s="85" t="s">
        <v>126</v>
      </c>
      <c r="B19" s="181">
        <f>SUM(B16,B18)</f>
        <v>0</v>
      </c>
      <c r="C19" s="182">
        <f t="shared" ref="C19:N19" si="17">SUM(C16,C18)</f>
        <v>0</v>
      </c>
      <c r="D19" s="182">
        <f t="shared" si="17"/>
        <v>0</v>
      </c>
      <c r="E19" s="182">
        <f t="shared" si="17"/>
        <v>0</v>
      </c>
      <c r="F19" s="182">
        <f t="shared" si="17"/>
        <v>0</v>
      </c>
      <c r="G19" s="182">
        <f t="shared" si="17"/>
        <v>0</v>
      </c>
      <c r="H19" s="182">
        <f t="shared" si="17"/>
        <v>0</v>
      </c>
      <c r="I19" s="183">
        <f t="shared" si="17"/>
        <v>0</v>
      </c>
      <c r="J19" s="243"/>
      <c r="K19" s="181">
        <f t="shared" si="17"/>
        <v>0</v>
      </c>
      <c r="L19" s="182">
        <f t="shared" si="17"/>
        <v>0</v>
      </c>
      <c r="M19" s="182">
        <f t="shared" si="17"/>
        <v>0</v>
      </c>
      <c r="N19" s="183">
        <f t="shared" si="17"/>
        <v>0</v>
      </c>
      <c r="P19" s="163"/>
      <c r="Q19" s="27" t="str">
        <f t="shared" si="4"/>
        <v>Operating Profit (EBIT)</v>
      </c>
      <c r="R19" s="182">
        <f t="shared" ref="R19:S19" si="18">SUM(R16,R18)</f>
        <v>0</v>
      </c>
      <c r="S19" s="182">
        <f t="shared" si="18"/>
        <v>0</v>
      </c>
      <c r="T19" s="182">
        <f t="shared" si="7"/>
        <v>0</v>
      </c>
      <c r="U19" s="182">
        <f t="shared" si="8"/>
        <v>0</v>
      </c>
      <c r="V19" s="182">
        <f t="shared" si="9"/>
        <v>0</v>
      </c>
      <c r="W19" s="183">
        <f t="shared" si="10"/>
        <v>0</v>
      </c>
      <c r="X19" s="164"/>
    </row>
    <row r="20" spans="1:24" x14ac:dyDescent="0.3">
      <c r="B20" s="163"/>
      <c r="C20" s="27"/>
      <c r="D20" s="27"/>
      <c r="E20" s="27"/>
      <c r="F20" s="27"/>
      <c r="G20" s="27"/>
      <c r="H20" s="27"/>
      <c r="I20" s="164"/>
      <c r="J20" s="243"/>
      <c r="K20" s="163"/>
      <c r="L20" s="27"/>
      <c r="M20" s="27"/>
      <c r="N20" s="164"/>
      <c r="P20" s="163"/>
      <c r="Q20" s="27"/>
      <c r="R20" s="163"/>
      <c r="S20" s="27"/>
      <c r="T20" s="27"/>
      <c r="U20" s="27"/>
      <c r="V20" s="27"/>
      <c r="W20" s="164"/>
      <c r="X20" s="164"/>
    </row>
    <row r="21" spans="1:24" ht="15" thickBot="1" x14ac:dyDescent="0.35">
      <c r="A21" s="78" t="s">
        <v>124</v>
      </c>
      <c r="B21" s="170">
        <f>Financing!B62*-1</f>
        <v>0</v>
      </c>
      <c r="C21" s="83">
        <f>Financing!C62*-1</f>
        <v>0</v>
      </c>
      <c r="D21" s="83">
        <f>Financing!D62*-1</f>
        <v>0</v>
      </c>
      <c r="E21" s="83">
        <f>Financing!E62*-1</f>
        <v>0</v>
      </c>
      <c r="F21" s="83">
        <f>Financing!F62*-1</f>
        <v>0</v>
      </c>
      <c r="G21" s="83">
        <f>Financing!G62*-1</f>
        <v>0</v>
      </c>
      <c r="H21" s="83">
        <f>Financing!H62*-1</f>
        <v>0</v>
      </c>
      <c r="I21" s="171">
        <f>Financing!I62*-1</f>
        <v>0</v>
      </c>
      <c r="J21" s="243"/>
      <c r="K21" s="170">
        <f>Financing!K62*-1</f>
        <v>0</v>
      </c>
      <c r="L21" s="83">
        <f>Financing!L62*-1</f>
        <v>0</v>
      </c>
      <c r="M21" s="83">
        <f>Financing!M62*-1</f>
        <v>0</v>
      </c>
      <c r="N21" s="171">
        <f>Financing!N62*-1</f>
        <v>0</v>
      </c>
      <c r="P21" s="163"/>
      <c r="Q21" s="27" t="str">
        <f t="shared" si="4"/>
        <v>Financing Expenses</v>
      </c>
      <c r="R21" s="170">
        <f t="shared" si="5"/>
        <v>0</v>
      </c>
      <c r="S21" s="83">
        <f t="shared" si="6"/>
        <v>0</v>
      </c>
      <c r="T21" s="83">
        <f t="shared" si="7"/>
        <v>0</v>
      </c>
      <c r="U21" s="83">
        <f t="shared" si="8"/>
        <v>0</v>
      </c>
      <c r="V21" s="83">
        <f t="shared" si="9"/>
        <v>0</v>
      </c>
      <c r="W21" s="171">
        <f t="shared" si="10"/>
        <v>0</v>
      </c>
      <c r="X21" s="164"/>
    </row>
    <row r="22" spans="1:24" s="29" customFormat="1" ht="15" thickTop="1" x14ac:dyDescent="0.3">
      <c r="A22" s="85" t="s">
        <v>125</v>
      </c>
      <c r="B22" s="181">
        <f>SUM(B19,B21)</f>
        <v>0</v>
      </c>
      <c r="C22" s="182">
        <f t="shared" ref="C22" si="19">SUM(C19,C21)</f>
        <v>0</v>
      </c>
      <c r="D22" s="182">
        <f t="shared" ref="D22" si="20">SUM(D19,D21)</f>
        <v>0</v>
      </c>
      <c r="E22" s="182">
        <f t="shared" ref="E22" si="21">SUM(E19,E21)</f>
        <v>0</v>
      </c>
      <c r="F22" s="182">
        <f t="shared" ref="F22" si="22">SUM(F19,F21)</f>
        <v>0</v>
      </c>
      <c r="G22" s="182">
        <f t="shared" ref="G22" si="23">SUM(G19,G21)</f>
        <v>0</v>
      </c>
      <c r="H22" s="182">
        <f t="shared" ref="H22" si="24">SUM(H19,H21)</f>
        <v>0</v>
      </c>
      <c r="I22" s="183">
        <f t="shared" ref="I22" si="25">SUM(I19,I21)</f>
        <v>0</v>
      </c>
      <c r="J22" s="243"/>
      <c r="K22" s="181">
        <f t="shared" ref="K22" si="26">SUM(K19,K21)</f>
        <v>0</v>
      </c>
      <c r="L22" s="182">
        <f t="shared" ref="L22" si="27">SUM(L19,L21)</f>
        <v>0</v>
      </c>
      <c r="M22" s="182">
        <f t="shared" ref="M22" si="28">SUM(M19,M21)</f>
        <v>0</v>
      </c>
      <c r="N22" s="183">
        <f t="shared" ref="N22" si="29">SUM(N19,N21)</f>
        <v>0</v>
      </c>
      <c r="P22" s="163"/>
      <c r="Q22" s="27" t="str">
        <f t="shared" si="4"/>
        <v>Profit before Tax</v>
      </c>
      <c r="R22" s="181">
        <f t="shared" si="5"/>
        <v>0</v>
      </c>
      <c r="S22" s="182">
        <f t="shared" si="6"/>
        <v>0</v>
      </c>
      <c r="T22" s="182">
        <f t="shared" si="7"/>
        <v>0</v>
      </c>
      <c r="U22" s="182">
        <f t="shared" si="8"/>
        <v>0</v>
      </c>
      <c r="V22" s="182">
        <f t="shared" si="9"/>
        <v>0</v>
      </c>
      <c r="W22" s="183">
        <f t="shared" si="10"/>
        <v>0</v>
      </c>
      <c r="X22" s="164"/>
    </row>
    <row r="23" spans="1:24" s="29" customFormat="1" x14ac:dyDescent="0.3">
      <c r="A23" s="84"/>
      <c r="B23" s="172"/>
      <c r="C23" s="173"/>
      <c r="D23" s="173"/>
      <c r="E23" s="173"/>
      <c r="F23" s="173"/>
      <c r="G23" s="173"/>
      <c r="H23" s="173"/>
      <c r="I23" s="174"/>
      <c r="J23" s="243"/>
      <c r="K23" s="172"/>
      <c r="L23" s="173"/>
      <c r="M23" s="173"/>
      <c r="N23" s="174"/>
      <c r="P23" s="163"/>
      <c r="Q23" s="27"/>
      <c r="R23" s="172"/>
      <c r="S23" s="173"/>
      <c r="T23" s="173"/>
      <c r="U23" s="173"/>
      <c r="V23" s="173"/>
      <c r="W23" s="174"/>
      <c r="X23" s="164"/>
    </row>
    <row r="24" spans="1:24" s="29" customFormat="1" ht="15" thickBot="1" x14ac:dyDescent="0.35">
      <c r="A24" s="78" t="s">
        <v>107</v>
      </c>
      <c r="B24" s="170">
        <f>IF(B22/4&gt;'Other Operating Expenses'!$B$32,'Income Statement'!B22*'Other Operating Expenses'!$B$31*-1,0)</f>
        <v>0</v>
      </c>
      <c r="C24" s="83">
        <f>IF(C22/4&gt;'Other Operating Expenses'!$B$32,'Income Statement'!C22*'Other Operating Expenses'!$B$31*-1,0)</f>
        <v>0</v>
      </c>
      <c r="D24" s="83">
        <f>IF(D22/4&gt;'Other Operating Expenses'!$B$32,'Income Statement'!D22*'Other Operating Expenses'!$B$31*-1,0)</f>
        <v>0</v>
      </c>
      <c r="E24" s="83">
        <f>IF(E22/4&gt;'Other Operating Expenses'!$B$32,'Income Statement'!E22*'Other Operating Expenses'!$B$31*-1,0)</f>
        <v>0</v>
      </c>
      <c r="F24" s="83">
        <f>IF(F22/4&gt;'Other Operating Expenses'!$B$32,'Income Statement'!F22*'Other Operating Expenses'!$B$31*-1,0)</f>
        <v>0</v>
      </c>
      <c r="G24" s="83">
        <f>IF(G22/4&gt;'Other Operating Expenses'!$B$32,'Income Statement'!G22*'Other Operating Expenses'!$B$31*-1,0)</f>
        <v>0</v>
      </c>
      <c r="H24" s="83">
        <f>IF(H22/4&gt;'Other Operating Expenses'!$B$32,'Income Statement'!H22*'Other Operating Expenses'!$B$31*-1,0)</f>
        <v>0</v>
      </c>
      <c r="I24" s="171">
        <f>IF(I22/4&gt;'Other Operating Expenses'!$B$32,'Income Statement'!I22*'Other Operating Expenses'!$B$31*-1,0)</f>
        <v>0</v>
      </c>
      <c r="J24" s="243"/>
      <c r="K24" s="170">
        <f>IF(K22&gt;'Other Operating Expenses'!$B$32,'Income Statement'!K22*'Other Operating Expenses'!$B$31*-1,0)</f>
        <v>0</v>
      </c>
      <c r="L24" s="83">
        <f>IF(L22&gt;'Other Operating Expenses'!$B$32,'Income Statement'!L22*'Other Operating Expenses'!$B$31*-1,0)</f>
        <v>0</v>
      </c>
      <c r="M24" s="83">
        <f>IF(M22&gt;'Other Operating Expenses'!$B$32,'Income Statement'!M22*'Other Operating Expenses'!$B$31*-1,0)</f>
        <v>0</v>
      </c>
      <c r="N24" s="171">
        <f>IF(N22&gt;'Other Operating Expenses'!$B$32,'Income Statement'!N22*'Other Operating Expenses'!$B$31*-1,0)</f>
        <v>0</v>
      </c>
      <c r="P24" s="163"/>
      <c r="Q24" s="27" t="str">
        <f t="shared" si="4"/>
        <v>Taxes</v>
      </c>
      <c r="R24" s="170">
        <f t="shared" si="5"/>
        <v>0</v>
      </c>
      <c r="S24" s="83">
        <f t="shared" si="6"/>
        <v>0</v>
      </c>
      <c r="T24" s="83">
        <f t="shared" si="7"/>
        <v>0</v>
      </c>
      <c r="U24" s="83">
        <f t="shared" si="8"/>
        <v>0</v>
      </c>
      <c r="V24" s="83">
        <f t="shared" si="9"/>
        <v>0</v>
      </c>
      <c r="W24" s="171">
        <f t="shared" si="10"/>
        <v>0</v>
      </c>
      <c r="X24" s="164"/>
    </row>
    <row r="25" spans="1:24" ht="15" thickTop="1" x14ac:dyDescent="0.3">
      <c r="A25" s="85" t="s">
        <v>127</v>
      </c>
      <c r="B25" s="181">
        <f>SUM(B22,B24)</f>
        <v>0</v>
      </c>
      <c r="C25" s="182">
        <f t="shared" ref="C25" si="30">SUM(C22,C24)</f>
        <v>0</v>
      </c>
      <c r="D25" s="182">
        <f>SUM(D22,D24)</f>
        <v>0</v>
      </c>
      <c r="E25" s="182">
        <f t="shared" ref="E25" si="31">SUM(E22,E24)</f>
        <v>0</v>
      </c>
      <c r="F25" s="182">
        <f t="shared" ref="F25" si="32">SUM(F22,F24)</f>
        <v>0</v>
      </c>
      <c r="G25" s="182">
        <f t="shared" ref="G25" si="33">SUM(G22,G24)</f>
        <v>0</v>
      </c>
      <c r="H25" s="182">
        <f t="shared" ref="H25" si="34">SUM(H22,H24)</f>
        <v>0</v>
      </c>
      <c r="I25" s="183">
        <f t="shared" ref="I25" si="35">SUM(I22,I24)</f>
        <v>0</v>
      </c>
      <c r="J25" s="243"/>
      <c r="K25" s="181">
        <f t="shared" ref="K25" si="36">SUM(K22,K24)</f>
        <v>0</v>
      </c>
      <c r="L25" s="182">
        <f t="shared" ref="L25" si="37">SUM(L22,L24)</f>
        <v>0</v>
      </c>
      <c r="M25" s="182">
        <f t="shared" ref="M25" si="38">SUM(M22,M24)</f>
        <v>0</v>
      </c>
      <c r="N25" s="183">
        <f t="shared" ref="N25" si="39">SUM(N22,N24)</f>
        <v>0</v>
      </c>
      <c r="P25" s="163"/>
      <c r="Q25" s="27" t="str">
        <f t="shared" si="4"/>
        <v>Profit after Tax (Net Income)</v>
      </c>
      <c r="R25" s="181">
        <f t="shared" si="5"/>
        <v>0</v>
      </c>
      <c r="S25" s="182">
        <f t="shared" si="6"/>
        <v>0</v>
      </c>
      <c r="T25" s="182">
        <f t="shared" si="7"/>
        <v>0</v>
      </c>
      <c r="U25" s="182">
        <f t="shared" si="8"/>
        <v>0</v>
      </c>
      <c r="V25" s="182">
        <f t="shared" si="9"/>
        <v>0</v>
      </c>
      <c r="W25" s="183">
        <f t="shared" si="10"/>
        <v>0</v>
      </c>
      <c r="X25" s="164"/>
    </row>
    <row r="26" spans="1:24" ht="15" thickBot="1" x14ac:dyDescent="0.35">
      <c r="P26" s="125"/>
      <c r="Q26" s="126"/>
      <c r="R26" s="126"/>
      <c r="S26" s="126"/>
      <c r="T26" s="126"/>
      <c r="U26" s="126"/>
      <c r="V26" s="126"/>
      <c r="W26" s="126"/>
      <c r="X26" s="127"/>
    </row>
    <row r="27" spans="1:24" ht="15" thickTop="1" x14ac:dyDescent="0.3"/>
  </sheetData>
  <mergeCells count="5">
    <mergeCell ref="R6:W6"/>
    <mergeCell ref="B6:I6"/>
    <mergeCell ref="K6:N6"/>
    <mergeCell ref="B7:E7"/>
    <mergeCell ref="F7:I7"/>
  </mergeCells>
  <conditionalFormatting sqref="B23:I23 K23:N23">
    <cfRule type="cellIs" dxfId="53" priority="37" operator="lessThan">
      <formula>0</formula>
    </cfRule>
  </conditionalFormatting>
  <conditionalFormatting sqref="B15:I15 B17:I17 K17:N17 K15:N15">
    <cfRule type="cellIs" dxfId="52" priority="36" operator="lessThan">
      <formula>0</formula>
    </cfRule>
  </conditionalFormatting>
  <conditionalFormatting sqref="B18:I18 K18:N18">
    <cfRule type="cellIs" dxfId="51" priority="28" operator="lessThan">
      <formula>0</formula>
    </cfRule>
  </conditionalFormatting>
  <conditionalFormatting sqref="B21:I21 K21:N21">
    <cfRule type="cellIs" dxfId="50" priority="27" operator="lessThan">
      <formula>0</formula>
    </cfRule>
  </conditionalFormatting>
  <conditionalFormatting sqref="B24:I24 K24:N24">
    <cfRule type="cellIs" dxfId="49" priority="26" operator="lessThan">
      <formula>0</formula>
    </cfRule>
  </conditionalFormatting>
  <conditionalFormatting sqref="B10:I12 K10:N12">
    <cfRule type="cellIs" dxfId="48" priority="25" operator="lessThan">
      <formula>0</formula>
    </cfRule>
  </conditionalFormatting>
  <conditionalFormatting sqref="B13:I13 K13:N13">
    <cfRule type="cellIs" dxfId="47" priority="24" operator="lessThan">
      <formula>0</formula>
    </cfRule>
  </conditionalFormatting>
  <conditionalFormatting sqref="B16:I16 K16:N16">
    <cfRule type="cellIs" dxfId="46" priority="21" operator="lessThan">
      <formula>0</formula>
    </cfRule>
  </conditionalFormatting>
  <conditionalFormatting sqref="B19:I19 K19:N19">
    <cfRule type="cellIs" dxfId="45" priority="20" operator="lessThan">
      <formula>0</formula>
    </cfRule>
  </conditionalFormatting>
  <conditionalFormatting sqref="B22:I22 K22:N22">
    <cfRule type="cellIs" dxfId="44" priority="19" operator="lessThan">
      <formula>0</formula>
    </cfRule>
  </conditionalFormatting>
  <conditionalFormatting sqref="B25:I25 K25:N25">
    <cfRule type="cellIs" dxfId="43" priority="18" operator="lessThan">
      <formula>0</formula>
    </cfRule>
  </conditionalFormatting>
  <conditionalFormatting sqref="R23:W23">
    <cfRule type="cellIs" dxfId="42" priority="17" operator="lessThan">
      <formula>0</formula>
    </cfRule>
  </conditionalFormatting>
  <conditionalFormatting sqref="R15:W15 R17:W17">
    <cfRule type="cellIs" dxfId="41" priority="16" operator="lessThan">
      <formula>0</formula>
    </cfRule>
  </conditionalFormatting>
  <conditionalFormatting sqref="R18:W18">
    <cfRule type="cellIs" dxfId="40" priority="15" operator="lessThan">
      <formula>0</formula>
    </cfRule>
  </conditionalFormatting>
  <conditionalFormatting sqref="R21:W21">
    <cfRule type="cellIs" dxfId="39" priority="14" operator="lessThan">
      <formula>0</formula>
    </cfRule>
  </conditionalFormatting>
  <conditionalFormatting sqref="R24:W24">
    <cfRule type="cellIs" dxfId="38" priority="13" operator="lessThan">
      <formula>0</formula>
    </cfRule>
  </conditionalFormatting>
  <conditionalFormatting sqref="R10:W12">
    <cfRule type="cellIs" dxfId="37" priority="12" operator="lessThan">
      <formula>0</formula>
    </cfRule>
  </conditionalFormatting>
  <conditionalFormatting sqref="T13:W13">
    <cfRule type="cellIs" dxfId="36" priority="11" operator="lessThan">
      <formula>0</formula>
    </cfRule>
  </conditionalFormatting>
  <conditionalFormatting sqref="T16:W16">
    <cfRule type="cellIs" dxfId="35" priority="10" operator="lessThan">
      <formula>0</formula>
    </cfRule>
  </conditionalFormatting>
  <conditionalFormatting sqref="T19:W19">
    <cfRule type="cellIs" dxfId="34" priority="9" operator="lessThan">
      <formula>0</formula>
    </cfRule>
  </conditionalFormatting>
  <conditionalFormatting sqref="R22:W22">
    <cfRule type="cellIs" dxfId="33" priority="8" operator="lessThan">
      <formula>0</formula>
    </cfRule>
  </conditionalFormatting>
  <conditionalFormatting sqref="R25:W25">
    <cfRule type="cellIs" dxfId="32" priority="7" operator="lessThan">
      <formula>0</formula>
    </cfRule>
  </conditionalFormatting>
  <conditionalFormatting sqref="S13">
    <cfRule type="cellIs" dxfId="31" priority="6" operator="lessThan">
      <formula>0</formula>
    </cfRule>
  </conditionalFormatting>
  <conditionalFormatting sqref="R13">
    <cfRule type="cellIs" dxfId="30" priority="5" operator="lessThan">
      <formula>0</formula>
    </cfRule>
  </conditionalFormatting>
  <conditionalFormatting sqref="R16">
    <cfRule type="cellIs" dxfId="29" priority="4" operator="lessThan">
      <formula>0</formula>
    </cfRule>
  </conditionalFormatting>
  <conditionalFormatting sqref="S16">
    <cfRule type="cellIs" dxfId="28" priority="3" operator="lessThan">
      <formula>0</formula>
    </cfRule>
  </conditionalFormatting>
  <conditionalFormatting sqref="R19">
    <cfRule type="cellIs" dxfId="27" priority="2" operator="lessThan">
      <formula>0</formula>
    </cfRule>
  </conditionalFormatting>
  <conditionalFormatting sqref="S19">
    <cfRule type="cellIs" dxfId="26" priority="1" operator="less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V23"/>
  <sheetViews>
    <sheetView topLeftCell="A2" workbookViewId="0">
      <selection activeCell="A29" sqref="A29"/>
    </sheetView>
  </sheetViews>
  <sheetFormatPr defaultColWidth="8.77734375" defaultRowHeight="14.4" x14ac:dyDescent="0.3"/>
  <cols>
    <col min="1" max="1" width="23.44140625" style="27" customWidth="1"/>
    <col min="2" max="9" width="11.77734375" style="27" customWidth="1"/>
    <col min="10" max="10" width="7.77734375" style="27" customWidth="1"/>
    <col min="11" max="14" width="11.77734375" style="27" customWidth="1"/>
    <col min="15" max="15" width="10" style="27" customWidth="1"/>
    <col min="16" max="16" width="24.5546875" style="27" customWidth="1"/>
    <col min="17" max="22" width="12.21875" style="27" customWidth="1"/>
    <col min="23" max="16384" width="8.77734375" style="27"/>
  </cols>
  <sheetData>
    <row r="1" spans="1:22" ht="23.4" x14ac:dyDescent="0.45">
      <c r="A1" s="253" t="s">
        <v>129</v>
      </c>
      <c r="B1" s="270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60"/>
      <c r="P1" s="253" t="str">
        <f>CompanyName &amp;" Annual Balance Sheet"</f>
        <v>WorkHorse Annual Balance Sheet</v>
      </c>
      <c r="Q1" s="270"/>
      <c r="R1" s="271"/>
      <c r="S1" s="271"/>
      <c r="T1" s="271"/>
      <c r="U1" s="271"/>
      <c r="V1" s="271"/>
    </row>
    <row r="2" spans="1:22" x14ac:dyDescent="0.3">
      <c r="A2" s="259" t="str">
        <f>"All Values in "&amp;SubHeader</f>
        <v>All Values in USD</v>
      </c>
      <c r="C2" s="272"/>
      <c r="D2" s="272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2" ht="17.399999999999999" x14ac:dyDescent="0.35"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260"/>
      <c r="P3" s="218"/>
    </row>
    <row r="4" spans="1:22" ht="15" customHeight="1" x14ac:dyDescent="0.35"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260"/>
      <c r="P4" s="218" t="s">
        <v>211</v>
      </c>
    </row>
    <row r="5" spans="1:22" ht="19.8" x14ac:dyDescent="0.4">
      <c r="A5" s="262" t="s">
        <v>130</v>
      </c>
      <c r="O5" s="260"/>
    </row>
    <row r="6" spans="1:22" ht="15" customHeight="1" x14ac:dyDescent="0.3">
      <c r="A6" s="259"/>
      <c r="B6" s="382" t="s">
        <v>176</v>
      </c>
      <c r="C6" s="382"/>
      <c r="D6" s="382"/>
      <c r="E6" s="382"/>
      <c r="F6" s="382"/>
      <c r="G6" s="382"/>
      <c r="H6" s="382"/>
      <c r="I6" s="382"/>
      <c r="J6" s="273"/>
      <c r="K6" s="352" t="s">
        <v>177</v>
      </c>
      <c r="L6" s="352"/>
      <c r="M6" s="352"/>
      <c r="N6" s="352"/>
      <c r="O6" s="260"/>
      <c r="Q6" s="352" t="s">
        <v>212</v>
      </c>
      <c r="R6" s="352"/>
      <c r="S6" s="352"/>
      <c r="T6" s="352"/>
      <c r="U6" s="352"/>
      <c r="V6" s="352"/>
    </row>
    <row r="7" spans="1:22" ht="15" customHeight="1" x14ac:dyDescent="0.3">
      <c r="A7" s="259"/>
      <c r="B7" s="382" t="s">
        <v>205</v>
      </c>
      <c r="C7" s="382"/>
      <c r="D7" s="382"/>
      <c r="E7" s="382"/>
      <c r="F7" s="382" t="s">
        <v>206</v>
      </c>
      <c r="G7" s="382"/>
      <c r="H7" s="382"/>
      <c r="I7" s="382"/>
      <c r="J7" s="273"/>
      <c r="K7" s="263" t="s">
        <v>145</v>
      </c>
      <c r="L7" s="263" t="s">
        <v>146</v>
      </c>
      <c r="M7" s="263" t="s">
        <v>147</v>
      </c>
      <c r="N7" s="263" t="s">
        <v>243</v>
      </c>
      <c r="O7" s="260"/>
      <c r="Q7" s="263" t="s">
        <v>205</v>
      </c>
      <c r="R7" s="263" t="s">
        <v>206</v>
      </c>
      <c r="S7" s="263" t="s">
        <v>145</v>
      </c>
      <c r="T7" s="263" t="s">
        <v>146</v>
      </c>
      <c r="U7" s="263" t="s">
        <v>147</v>
      </c>
      <c r="V7" s="263" t="s">
        <v>243</v>
      </c>
    </row>
    <row r="8" spans="1:22" ht="15" customHeight="1" x14ac:dyDescent="0.3">
      <c r="A8" s="92" t="s">
        <v>271</v>
      </c>
      <c r="B8" s="60">
        <f>StartDate</f>
        <v>43921</v>
      </c>
      <c r="C8" s="60">
        <f>EDATE(B8,3)</f>
        <v>44012</v>
      </c>
      <c r="D8" s="60">
        <f t="shared" ref="D8:I8" si="0">EDATE(C8,3)</f>
        <v>44104</v>
      </c>
      <c r="E8" s="60">
        <f t="shared" si="0"/>
        <v>44195</v>
      </c>
      <c r="F8" s="60">
        <f t="shared" si="0"/>
        <v>44285</v>
      </c>
      <c r="G8" s="60">
        <f t="shared" si="0"/>
        <v>44377</v>
      </c>
      <c r="H8" s="60">
        <f t="shared" si="0"/>
        <v>44469</v>
      </c>
      <c r="I8" s="60">
        <f t="shared" si="0"/>
        <v>44560</v>
      </c>
      <c r="J8" s="273"/>
      <c r="K8" s="60">
        <f>EDATE(I8,3)</f>
        <v>44650</v>
      </c>
      <c r="L8" s="60">
        <f t="shared" ref="L8:N8" si="1">EDATE(K8,12)</f>
        <v>45015</v>
      </c>
      <c r="M8" s="60">
        <f t="shared" si="1"/>
        <v>45381</v>
      </c>
      <c r="N8" s="60">
        <f t="shared" si="1"/>
        <v>45746</v>
      </c>
      <c r="O8" s="260"/>
      <c r="P8" s="92" t="s">
        <v>271</v>
      </c>
      <c r="Q8" s="60">
        <f>B8</f>
        <v>43921</v>
      </c>
      <c r="R8" s="60">
        <f>F8</f>
        <v>44285</v>
      </c>
      <c r="S8" s="60">
        <f>K8</f>
        <v>44650</v>
      </c>
      <c r="T8" s="60">
        <f t="shared" ref="T8:V8" si="2">L8</f>
        <v>45015</v>
      </c>
      <c r="U8" s="60">
        <f t="shared" si="2"/>
        <v>45381</v>
      </c>
      <c r="V8" s="60">
        <f t="shared" si="2"/>
        <v>45746</v>
      </c>
    </row>
    <row r="9" spans="1:22" x14ac:dyDescent="0.3">
      <c r="J9" s="273"/>
      <c r="P9" s="223"/>
      <c r="Q9" s="35"/>
      <c r="R9" s="35"/>
      <c r="S9" s="35"/>
      <c r="T9" s="35"/>
      <c r="U9" s="35"/>
      <c r="V9" s="35"/>
    </row>
    <row r="10" spans="1:22" x14ac:dyDescent="0.3">
      <c r="A10" s="264" t="s">
        <v>100</v>
      </c>
      <c r="B10" s="166"/>
      <c r="C10" s="166"/>
      <c r="D10" s="166"/>
      <c r="E10" s="166"/>
      <c r="F10" s="166"/>
      <c r="G10" s="166"/>
      <c r="H10" s="166"/>
      <c r="I10" s="166"/>
      <c r="J10" s="273"/>
      <c r="K10" s="166"/>
      <c r="L10" s="166"/>
      <c r="M10" s="166"/>
      <c r="N10" s="166"/>
      <c r="P10" s="264" t="str">
        <f>A10</f>
        <v>Assets</v>
      </c>
      <c r="Q10" s="166"/>
      <c r="R10" s="166"/>
      <c r="S10" s="166"/>
      <c r="T10" s="166"/>
      <c r="U10" s="166"/>
      <c r="V10" s="166"/>
    </row>
    <row r="11" spans="1:22" x14ac:dyDescent="0.3">
      <c r="A11" s="94" t="s">
        <v>101</v>
      </c>
      <c r="B11" s="82">
        <f>'Cash Flow'!B36</f>
        <v>0</v>
      </c>
      <c r="C11" s="82">
        <f>'Cash Flow'!C36</f>
        <v>0</v>
      </c>
      <c r="D11" s="82">
        <f>'Cash Flow'!D36</f>
        <v>0</v>
      </c>
      <c r="E11" s="82">
        <f>'Cash Flow'!E36</f>
        <v>0</v>
      </c>
      <c r="F11" s="82">
        <f>'Cash Flow'!F36</f>
        <v>0</v>
      </c>
      <c r="G11" s="82">
        <f>'Cash Flow'!G36</f>
        <v>0</v>
      </c>
      <c r="H11" s="82">
        <f>'Cash Flow'!H36</f>
        <v>0</v>
      </c>
      <c r="I11" s="82">
        <f>'Cash Flow'!I36</f>
        <v>0</v>
      </c>
      <c r="J11" s="273"/>
      <c r="K11" s="82">
        <f>'Cash Flow'!K36</f>
        <v>0</v>
      </c>
      <c r="L11" s="82">
        <f>'Cash Flow'!L36</f>
        <v>0</v>
      </c>
      <c r="M11" s="82">
        <f>'Cash Flow'!M36</f>
        <v>0</v>
      </c>
      <c r="N11" s="82">
        <f>'Cash Flow'!N36</f>
        <v>0</v>
      </c>
      <c r="P11" s="94" t="str">
        <f t="shared" ref="P11" si="3">A11</f>
        <v>Cash</v>
      </c>
      <c r="Q11" s="82">
        <f>E11</f>
        <v>0</v>
      </c>
      <c r="R11" s="82">
        <f>I11</f>
        <v>0</v>
      </c>
      <c r="S11" s="82">
        <f t="shared" ref="S11" si="4">K11</f>
        <v>0</v>
      </c>
      <c r="T11" s="82">
        <f t="shared" ref="T11:V11" si="5">L11</f>
        <v>0</v>
      </c>
      <c r="U11" s="82">
        <f t="shared" si="5"/>
        <v>0</v>
      </c>
      <c r="V11" s="82">
        <f t="shared" si="5"/>
        <v>0</v>
      </c>
    </row>
    <row r="12" spans="1:22" x14ac:dyDescent="0.3">
      <c r="A12" s="94" t="s">
        <v>102</v>
      </c>
      <c r="B12" s="82">
        <f>'Capital Expenditures'!B70</f>
        <v>0</v>
      </c>
      <c r="C12" s="82">
        <f>'Capital Expenditures'!C70</f>
        <v>0</v>
      </c>
      <c r="D12" s="82">
        <f>'Capital Expenditures'!D70</f>
        <v>0</v>
      </c>
      <c r="E12" s="82">
        <f>'Capital Expenditures'!E70</f>
        <v>0</v>
      </c>
      <c r="F12" s="82">
        <f>'Capital Expenditures'!F70</f>
        <v>0</v>
      </c>
      <c r="G12" s="82">
        <f>'Capital Expenditures'!G70</f>
        <v>0</v>
      </c>
      <c r="H12" s="82">
        <f>'Capital Expenditures'!H70</f>
        <v>0</v>
      </c>
      <c r="I12" s="82">
        <f>'Capital Expenditures'!I70</f>
        <v>0</v>
      </c>
      <c r="J12" s="273"/>
      <c r="K12" s="82">
        <f>'Capital Expenditures'!K70</f>
        <v>0</v>
      </c>
      <c r="L12" s="82">
        <f>'Capital Expenditures'!L70</f>
        <v>0</v>
      </c>
      <c r="M12" s="82">
        <f>'Capital Expenditures'!M70</f>
        <v>0</v>
      </c>
      <c r="N12" s="82">
        <f>'Capital Expenditures'!N70</f>
        <v>0</v>
      </c>
      <c r="P12" s="94" t="str">
        <f t="shared" ref="P12:P22" si="6">A12</f>
        <v>Fixed Assets</v>
      </c>
      <c r="Q12" s="82">
        <f t="shared" ref="Q12:Q16" si="7">E12</f>
        <v>0</v>
      </c>
      <c r="R12" s="82">
        <f t="shared" ref="R12:R16" si="8">I12</f>
        <v>0</v>
      </c>
      <c r="S12" s="82">
        <f t="shared" ref="S12:S22" si="9">K12</f>
        <v>0</v>
      </c>
      <c r="T12" s="82">
        <f t="shared" ref="T12:T22" si="10">L12</f>
        <v>0</v>
      </c>
      <c r="U12" s="82">
        <f t="shared" ref="U12:U22" si="11">M12</f>
        <v>0</v>
      </c>
      <c r="V12" s="82">
        <f t="shared" ref="V12:V22" si="12">N12</f>
        <v>0</v>
      </c>
    </row>
    <row r="13" spans="1:22" x14ac:dyDescent="0.3">
      <c r="A13" s="94" t="s">
        <v>82</v>
      </c>
      <c r="B13" s="82">
        <f>'Total Expenses'!B11*-1</f>
        <v>0</v>
      </c>
      <c r="C13" s="82">
        <f>'Total Expenses'!C11*-1</f>
        <v>0</v>
      </c>
      <c r="D13" s="82">
        <f>'Total Expenses'!D11*-1</f>
        <v>0</v>
      </c>
      <c r="E13" s="82">
        <f>'Total Expenses'!E11*-1</f>
        <v>0</v>
      </c>
      <c r="F13" s="82">
        <f>'Total Expenses'!F11*-1</f>
        <v>0</v>
      </c>
      <c r="G13" s="82">
        <f>'Total Expenses'!G11*-1</f>
        <v>0</v>
      </c>
      <c r="H13" s="82">
        <f>'Total Expenses'!H11*-1</f>
        <v>0</v>
      </c>
      <c r="I13" s="82">
        <f>'Total Expenses'!I11*-1</f>
        <v>0</v>
      </c>
      <c r="J13" s="273"/>
      <c r="K13" s="82">
        <f>'Total Expenses'!K11*-1</f>
        <v>0</v>
      </c>
      <c r="L13" s="82">
        <f>'Total Expenses'!L11*-1</f>
        <v>0</v>
      </c>
      <c r="M13" s="82">
        <f>'Total Expenses'!M11*-1</f>
        <v>0</v>
      </c>
      <c r="N13" s="82">
        <f>'Total Expenses'!N11*-1</f>
        <v>0</v>
      </c>
      <c r="P13" s="94" t="str">
        <f t="shared" si="6"/>
        <v>Depreciation</v>
      </c>
      <c r="Q13" s="82">
        <f t="shared" si="7"/>
        <v>0</v>
      </c>
      <c r="R13" s="82">
        <f t="shared" si="8"/>
        <v>0</v>
      </c>
      <c r="S13" s="82">
        <f t="shared" si="9"/>
        <v>0</v>
      </c>
      <c r="T13" s="82">
        <f t="shared" si="10"/>
        <v>0</v>
      </c>
      <c r="U13" s="82">
        <f t="shared" si="11"/>
        <v>0</v>
      </c>
      <c r="V13" s="82">
        <f t="shared" si="12"/>
        <v>0</v>
      </c>
    </row>
    <row r="14" spans="1:22" x14ac:dyDescent="0.3">
      <c r="A14" s="94" t="str">
        <f>'Working Capital'!A27</f>
        <v>Accounts Receivable</v>
      </c>
      <c r="B14" s="82">
        <f>'Working Capital'!B27</f>
        <v>0</v>
      </c>
      <c r="C14" s="82">
        <f>'Working Capital'!C27</f>
        <v>0</v>
      </c>
      <c r="D14" s="82">
        <f>'Working Capital'!D27</f>
        <v>0</v>
      </c>
      <c r="E14" s="82">
        <f>'Working Capital'!E27</f>
        <v>0</v>
      </c>
      <c r="F14" s="82">
        <f>'Working Capital'!F27</f>
        <v>0</v>
      </c>
      <c r="G14" s="82">
        <f>'Working Capital'!G27</f>
        <v>0</v>
      </c>
      <c r="H14" s="82">
        <f>'Working Capital'!H27</f>
        <v>0</v>
      </c>
      <c r="I14" s="82">
        <f>'Working Capital'!I27</f>
        <v>0</v>
      </c>
      <c r="J14" s="273"/>
      <c r="K14" s="82">
        <f>'Working Capital'!K27</f>
        <v>0</v>
      </c>
      <c r="L14" s="82">
        <f>'Working Capital'!L27</f>
        <v>0</v>
      </c>
      <c r="M14" s="82">
        <f>'Working Capital'!M27</f>
        <v>0</v>
      </c>
      <c r="N14" s="82">
        <f>'Working Capital'!N27</f>
        <v>0</v>
      </c>
      <c r="P14" s="94" t="str">
        <f t="shared" si="6"/>
        <v>Accounts Receivable</v>
      </c>
      <c r="Q14" s="82">
        <f t="shared" si="7"/>
        <v>0</v>
      </c>
      <c r="R14" s="82">
        <f t="shared" si="8"/>
        <v>0</v>
      </c>
      <c r="S14" s="82">
        <f t="shared" si="9"/>
        <v>0</v>
      </c>
      <c r="T14" s="82">
        <f t="shared" si="10"/>
        <v>0</v>
      </c>
      <c r="U14" s="82">
        <f t="shared" si="11"/>
        <v>0</v>
      </c>
      <c r="V14" s="82">
        <f t="shared" si="12"/>
        <v>0</v>
      </c>
    </row>
    <row r="15" spans="1:22" x14ac:dyDescent="0.3">
      <c r="A15" s="94" t="str">
        <f>'Working Capital'!A28</f>
        <v>Inventories</v>
      </c>
      <c r="B15" s="82">
        <f>'Working Capital'!B28</f>
        <v>0</v>
      </c>
      <c r="C15" s="82">
        <f>'Working Capital'!C28</f>
        <v>0</v>
      </c>
      <c r="D15" s="82">
        <f>'Working Capital'!D28</f>
        <v>0</v>
      </c>
      <c r="E15" s="82">
        <f>'Working Capital'!E28</f>
        <v>0</v>
      </c>
      <c r="F15" s="82">
        <f>'Working Capital'!F28</f>
        <v>0</v>
      </c>
      <c r="G15" s="82">
        <f>'Working Capital'!G28</f>
        <v>0</v>
      </c>
      <c r="H15" s="82">
        <f>'Working Capital'!H28</f>
        <v>0</v>
      </c>
      <c r="I15" s="82">
        <f>'Working Capital'!I28</f>
        <v>0</v>
      </c>
      <c r="J15" s="273"/>
      <c r="K15" s="82">
        <f>'Working Capital'!K28</f>
        <v>0</v>
      </c>
      <c r="L15" s="82">
        <f>'Working Capital'!L28</f>
        <v>0</v>
      </c>
      <c r="M15" s="82">
        <f>'Working Capital'!M28</f>
        <v>0</v>
      </c>
      <c r="N15" s="82">
        <f>'Working Capital'!N28</f>
        <v>0</v>
      </c>
      <c r="P15" s="94" t="str">
        <f t="shared" si="6"/>
        <v>Inventories</v>
      </c>
      <c r="Q15" s="82">
        <f t="shared" si="7"/>
        <v>0</v>
      </c>
      <c r="R15" s="82">
        <f t="shared" si="8"/>
        <v>0</v>
      </c>
      <c r="S15" s="82">
        <f t="shared" si="9"/>
        <v>0</v>
      </c>
      <c r="T15" s="82">
        <f t="shared" si="10"/>
        <v>0</v>
      </c>
      <c r="U15" s="82">
        <f t="shared" si="11"/>
        <v>0</v>
      </c>
      <c r="V15" s="82">
        <f t="shared" si="12"/>
        <v>0</v>
      </c>
    </row>
    <row r="16" spans="1:22" x14ac:dyDescent="0.3">
      <c r="A16" s="44" t="s">
        <v>103</v>
      </c>
      <c r="B16" s="205">
        <f>SUM(B11:B15)</f>
        <v>0</v>
      </c>
      <c r="C16" s="205">
        <f t="shared" ref="C16:N16" si="13">SUM(C11:C15)</f>
        <v>0</v>
      </c>
      <c r="D16" s="205">
        <f t="shared" si="13"/>
        <v>0</v>
      </c>
      <c r="E16" s="205">
        <f t="shared" si="13"/>
        <v>0</v>
      </c>
      <c r="F16" s="205">
        <f t="shared" si="13"/>
        <v>0</v>
      </c>
      <c r="G16" s="205">
        <f t="shared" si="13"/>
        <v>0</v>
      </c>
      <c r="H16" s="205">
        <f t="shared" si="13"/>
        <v>0</v>
      </c>
      <c r="I16" s="205">
        <f t="shared" si="13"/>
        <v>0</v>
      </c>
      <c r="J16" s="273"/>
      <c r="K16" s="205">
        <f t="shared" si="13"/>
        <v>0</v>
      </c>
      <c r="L16" s="205">
        <f t="shared" si="13"/>
        <v>0</v>
      </c>
      <c r="M16" s="205">
        <f t="shared" si="13"/>
        <v>0</v>
      </c>
      <c r="N16" s="205">
        <f t="shared" si="13"/>
        <v>0</v>
      </c>
      <c r="P16" s="44" t="str">
        <f t="shared" si="6"/>
        <v>Total Assets</v>
      </c>
      <c r="Q16" s="82">
        <f t="shared" si="7"/>
        <v>0</v>
      </c>
      <c r="R16" s="82">
        <f t="shared" si="8"/>
        <v>0</v>
      </c>
      <c r="S16" s="205">
        <f t="shared" si="9"/>
        <v>0</v>
      </c>
      <c r="T16" s="205">
        <f t="shared" si="10"/>
        <v>0</v>
      </c>
      <c r="U16" s="205">
        <f t="shared" si="11"/>
        <v>0</v>
      </c>
      <c r="V16" s="205">
        <f t="shared" si="12"/>
        <v>0</v>
      </c>
    </row>
    <row r="17" spans="1:22" x14ac:dyDescent="0.3">
      <c r="J17" s="273"/>
    </row>
    <row r="18" spans="1:22" x14ac:dyDescent="0.3">
      <c r="A18" s="264" t="s">
        <v>104</v>
      </c>
      <c r="B18" s="166"/>
      <c r="C18" s="166"/>
      <c r="D18" s="166"/>
      <c r="E18" s="166"/>
      <c r="F18" s="166"/>
      <c r="G18" s="166"/>
      <c r="H18" s="166"/>
      <c r="I18" s="166"/>
      <c r="J18" s="273"/>
      <c r="K18" s="166"/>
      <c r="L18" s="166"/>
      <c r="M18" s="166"/>
      <c r="N18" s="166"/>
      <c r="P18" s="264" t="str">
        <f t="shared" si="6"/>
        <v>Liabilities</v>
      </c>
      <c r="Q18" s="166"/>
      <c r="R18" s="166"/>
      <c r="S18" s="166"/>
      <c r="T18" s="166"/>
      <c r="U18" s="166"/>
      <c r="V18" s="166"/>
    </row>
    <row r="19" spans="1:22" x14ac:dyDescent="0.3">
      <c r="A19" s="94" t="s">
        <v>90</v>
      </c>
      <c r="B19" s="82">
        <f>Financing!B49</f>
        <v>0</v>
      </c>
      <c r="C19" s="82">
        <f>Financing!C49</f>
        <v>0</v>
      </c>
      <c r="D19" s="82">
        <f>Financing!D49</f>
        <v>0</v>
      </c>
      <c r="E19" s="82">
        <f>Financing!E49</f>
        <v>0</v>
      </c>
      <c r="F19" s="82">
        <f>Financing!F49</f>
        <v>0</v>
      </c>
      <c r="G19" s="82">
        <f>Financing!G49</f>
        <v>0</v>
      </c>
      <c r="H19" s="82">
        <f>Financing!H49</f>
        <v>0</v>
      </c>
      <c r="I19" s="82">
        <f>Financing!I49</f>
        <v>0</v>
      </c>
      <c r="J19" s="273"/>
      <c r="K19" s="82">
        <f>Financing!K49</f>
        <v>0</v>
      </c>
      <c r="L19" s="82">
        <f>Financing!L49</f>
        <v>0</v>
      </c>
      <c r="M19" s="82">
        <f>Financing!M49</f>
        <v>0</v>
      </c>
      <c r="N19" s="82">
        <f>Financing!N49</f>
        <v>0</v>
      </c>
      <c r="P19" s="94" t="str">
        <f t="shared" si="6"/>
        <v>Debt</v>
      </c>
      <c r="Q19" s="82">
        <f t="shared" ref="Q19:Q21" si="14">SUM(B19:E19)</f>
        <v>0</v>
      </c>
      <c r="R19" s="82">
        <f t="shared" ref="R19" si="15">SUM(F19:I19)</f>
        <v>0</v>
      </c>
      <c r="S19" s="82">
        <f t="shared" si="9"/>
        <v>0</v>
      </c>
      <c r="T19" s="82">
        <f t="shared" si="10"/>
        <v>0</v>
      </c>
      <c r="U19" s="82">
        <f t="shared" si="11"/>
        <v>0</v>
      </c>
      <c r="V19" s="82">
        <f t="shared" si="12"/>
        <v>0</v>
      </c>
    </row>
    <row r="20" spans="1:22" x14ac:dyDescent="0.3">
      <c r="A20" s="94" t="str">
        <f>'Working Capital'!A32</f>
        <v>Accounts Payable</v>
      </c>
      <c r="B20" s="82">
        <f>'Working Capital'!B32</f>
        <v>0</v>
      </c>
      <c r="C20" s="82">
        <f>'Working Capital'!C32</f>
        <v>0</v>
      </c>
      <c r="D20" s="82">
        <f>'Working Capital'!D32</f>
        <v>0</v>
      </c>
      <c r="E20" s="82">
        <f>'Working Capital'!E32</f>
        <v>0</v>
      </c>
      <c r="F20" s="82">
        <f>'Working Capital'!F32</f>
        <v>0</v>
      </c>
      <c r="G20" s="82">
        <f>'Working Capital'!G32</f>
        <v>0</v>
      </c>
      <c r="H20" s="82">
        <f>'Working Capital'!H32</f>
        <v>0</v>
      </c>
      <c r="I20" s="82">
        <f>'Working Capital'!I32</f>
        <v>0</v>
      </c>
      <c r="J20" s="273"/>
      <c r="K20" s="82">
        <f>'Working Capital'!K32</f>
        <v>0</v>
      </c>
      <c r="L20" s="82">
        <f>'Working Capital'!L32</f>
        <v>0</v>
      </c>
      <c r="M20" s="82">
        <f>'Working Capital'!M32</f>
        <v>0</v>
      </c>
      <c r="N20" s="82">
        <f>'Working Capital'!N32</f>
        <v>0</v>
      </c>
      <c r="P20" s="94" t="str">
        <f t="shared" si="6"/>
        <v>Accounts Payable</v>
      </c>
      <c r="Q20" s="82">
        <f t="shared" si="14"/>
        <v>0</v>
      </c>
      <c r="R20" s="82">
        <f>I20</f>
        <v>0</v>
      </c>
      <c r="S20" s="82">
        <f t="shared" si="9"/>
        <v>0</v>
      </c>
      <c r="T20" s="82">
        <f t="shared" si="10"/>
        <v>0</v>
      </c>
      <c r="U20" s="82">
        <f t="shared" si="11"/>
        <v>0</v>
      </c>
      <c r="V20" s="82">
        <f t="shared" si="12"/>
        <v>0</v>
      </c>
    </row>
    <row r="21" spans="1:22" x14ac:dyDescent="0.3">
      <c r="A21" s="44" t="s">
        <v>198</v>
      </c>
      <c r="B21" s="205">
        <f t="shared" ref="B21:N21" si="16">SUM(B19:B20)</f>
        <v>0</v>
      </c>
      <c r="C21" s="205">
        <f t="shared" si="16"/>
        <v>0</v>
      </c>
      <c r="D21" s="205">
        <f t="shared" si="16"/>
        <v>0</v>
      </c>
      <c r="E21" s="205">
        <f t="shared" si="16"/>
        <v>0</v>
      </c>
      <c r="F21" s="205">
        <f t="shared" si="16"/>
        <v>0</v>
      </c>
      <c r="G21" s="205">
        <f t="shared" si="16"/>
        <v>0</v>
      </c>
      <c r="H21" s="205">
        <f t="shared" si="16"/>
        <v>0</v>
      </c>
      <c r="I21" s="205">
        <f t="shared" si="16"/>
        <v>0</v>
      </c>
      <c r="J21" s="273"/>
      <c r="K21" s="205">
        <f t="shared" si="16"/>
        <v>0</v>
      </c>
      <c r="L21" s="205">
        <f t="shared" si="16"/>
        <v>0</v>
      </c>
      <c r="M21" s="205">
        <f t="shared" si="16"/>
        <v>0</v>
      </c>
      <c r="N21" s="205">
        <f t="shared" si="16"/>
        <v>0</v>
      </c>
      <c r="P21" s="44" t="str">
        <f t="shared" si="6"/>
        <v>Total Liabilities</v>
      </c>
      <c r="Q21" s="205">
        <f t="shared" si="14"/>
        <v>0</v>
      </c>
      <c r="R21" s="205">
        <f>I21</f>
        <v>0</v>
      </c>
      <c r="S21" s="205">
        <f t="shared" si="9"/>
        <v>0</v>
      </c>
      <c r="T21" s="205">
        <f t="shared" si="10"/>
        <v>0</v>
      </c>
      <c r="U21" s="205">
        <f t="shared" si="11"/>
        <v>0</v>
      </c>
      <c r="V21" s="205">
        <f t="shared" si="12"/>
        <v>0</v>
      </c>
    </row>
    <row r="22" spans="1:22" s="30" customFormat="1" x14ac:dyDescent="0.3">
      <c r="A22" s="42" t="s">
        <v>131</v>
      </c>
      <c r="B22" s="269">
        <f t="shared" ref="B22:N22" si="17">B16-B21</f>
        <v>0</v>
      </c>
      <c r="C22" s="240">
        <f t="shared" si="17"/>
        <v>0</v>
      </c>
      <c r="D22" s="240">
        <f t="shared" si="17"/>
        <v>0</v>
      </c>
      <c r="E22" s="240">
        <f t="shared" si="17"/>
        <v>0</v>
      </c>
      <c r="F22" s="240">
        <f t="shared" si="17"/>
        <v>0</v>
      </c>
      <c r="G22" s="240">
        <f t="shared" si="17"/>
        <v>0</v>
      </c>
      <c r="H22" s="240">
        <f t="shared" si="17"/>
        <v>0</v>
      </c>
      <c r="I22" s="240">
        <f t="shared" si="17"/>
        <v>0</v>
      </c>
      <c r="J22" s="273"/>
      <c r="K22" s="240">
        <f t="shared" si="17"/>
        <v>0</v>
      </c>
      <c r="L22" s="240">
        <f t="shared" si="17"/>
        <v>0</v>
      </c>
      <c r="M22" s="240">
        <f t="shared" si="17"/>
        <v>0</v>
      </c>
      <c r="N22" s="240">
        <f t="shared" si="17"/>
        <v>0</v>
      </c>
      <c r="P22" s="42" t="str">
        <f t="shared" si="6"/>
        <v>Equity Value</v>
      </c>
      <c r="Q22" s="240">
        <f>E22</f>
        <v>0</v>
      </c>
      <c r="R22" s="240">
        <f>I22</f>
        <v>0</v>
      </c>
      <c r="S22" s="240">
        <f t="shared" si="9"/>
        <v>0</v>
      </c>
      <c r="T22" s="240">
        <f t="shared" si="10"/>
        <v>0</v>
      </c>
      <c r="U22" s="240">
        <f t="shared" si="11"/>
        <v>0</v>
      </c>
      <c r="V22" s="240">
        <f t="shared" si="12"/>
        <v>0</v>
      </c>
    </row>
    <row r="23" spans="1:22" x14ac:dyDescent="0.3">
      <c r="A23" s="27" t="s">
        <v>278</v>
      </c>
      <c r="B23" s="274">
        <f t="shared" ref="B23:I23" si="18">B22+B21</f>
        <v>0</v>
      </c>
      <c r="C23" s="274">
        <f t="shared" si="18"/>
        <v>0</v>
      </c>
      <c r="D23" s="274">
        <f t="shared" si="18"/>
        <v>0</v>
      </c>
      <c r="E23" s="274">
        <f t="shared" si="18"/>
        <v>0</v>
      </c>
      <c r="F23" s="274">
        <f t="shared" si="18"/>
        <v>0</v>
      </c>
      <c r="G23" s="274">
        <f t="shared" si="18"/>
        <v>0</v>
      </c>
      <c r="H23" s="274">
        <f t="shared" si="18"/>
        <v>0</v>
      </c>
      <c r="I23" s="274">
        <f t="shared" si="18"/>
        <v>0</v>
      </c>
      <c r="K23" s="274">
        <f>K22+K21</f>
        <v>0</v>
      </c>
      <c r="L23" s="274">
        <f>L22+L21</f>
        <v>0</v>
      </c>
      <c r="M23" s="274">
        <f>M22+M21</f>
        <v>0</v>
      </c>
      <c r="N23" s="274">
        <f>N22+N21</f>
        <v>0</v>
      </c>
      <c r="P23" s="27" t="s">
        <v>278</v>
      </c>
      <c r="Q23" s="274">
        <f t="shared" ref="Q23:V23" si="19">Q22+Q21</f>
        <v>0</v>
      </c>
      <c r="R23" s="274">
        <f t="shared" si="19"/>
        <v>0</v>
      </c>
      <c r="S23" s="274">
        <f t="shared" si="19"/>
        <v>0</v>
      </c>
      <c r="T23" s="274">
        <f t="shared" si="19"/>
        <v>0</v>
      </c>
      <c r="U23" s="274">
        <f t="shared" si="19"/>
        <v>0</v>
      </c>
      <c r="V23" s="274">
        <f t="shared" si="19"/>
        <v>0</v>
      </c>
    </row>
  </sheetData>
  <mergeCells count="5">
    <mergeCell ref="B6:I6"/>
    <mergeCell ref="K6:N6"/>
    <mergeCell ref="B7:E7"/>
    <mergeCell ref="F7:I7"/>
    <mergeCell ref="Q6:V6"/>
  </mergeCells>
  <conditionalFormatting sqref="B11:I11 K11:N11">
    <cfRule type="cellIs" dxfId="25" priority="37" operator="lessThan">
      <formula>0</formula>
    </cfRule>
  </conditionalFormatting>
  <conditionalFormatting sqref="B19:I20 K19:N20">
    <cfRule type="cellIs" dxfId="24" priority="36" operator="lessThan">
      <formula>0</formula>
    </cfRule>
  </conditionalFormatting>
  <conditionalFormatting sqref="B15:I15 K15:N15">
    <cfRule type="cellIs" dxfId="23" priority="33" operator="lessThan">
      <formula>0</formula>
    </cfRule>
  </conditionalFormatting>
  <conditionalFormatting sqref="B22:I22 K22:N22">
    <cfRule type="cellIs" dxfId="22" priority="30" operator="greaterThan">
      <formula>0</formula>
    </cfRule>
    <cfRule type="cellIs" dxfId="21" priority="31" operator="lessThan">
      <formula>0</formula>
    </cfRule>
    <cfRule type="cellIs" dxfId="20" priority="32" operator="lessThan">
      <formula>0</formula>
    </cfRule>
  </conditionalFormatting>
  <conditionalFormatting sqref="B16:I16 K16:N16">
    <cfRule type="cellIs" dxfId="19" priority="29" operator="lessThan">
      <formula>0</formula>
    </cfRule>
  </conditionalFormatting>
  <conditionalFormatting sqref="B12:I14 K12:N14">
    <cfRule type="cellIs" dxfId="18" priority="28" operator="lessThan">
      <formula>0</formula>
    </cfRule>
  </conditionalFormatting>
  <conditionalFormatting sqref="B21:I21 K21:N21">
    <cfRule type="cellIs" dxfId="17" priority="27" operator="lessThan">
      <formula>0</formula>
    </cfRule>
  </conditionalFormatting>
  <conditionalFormatting sqref="Q24:V24">
    <cfRule type="cellIs" dxfId="16" priority="16" operator="lessThan">
      <formula>0</formula>
    </cfRule>
  </conditionalFormatting>
  <conditionalFormatting sqref="Q11:V11">
    <cfRule type="cellIs" dxfId="15" priority="15" operator="lessThan">
      <formula>0</formula>
    </cfRule>
  </conditionalFormatting>
  <conditionalFormatting sqref="Q19:V20">
    <cfRule type="cellIs" dxfId="14" priority="14" operator="lessThan">
      <formula>0</formula>
    </cfRule>
  </conditionalFormatting>
  <conditionalFormatting sqref="S16:V16">
    <cfRule type="cellIs" dxfId="13" priority="9" operator="lessThan">
      <formula>0</formula>
    </cfRule>
  </conditionalFormatting>
  <conditionalFormatting sqref="S12:V14">
    <cfRule type="cellIs" dxfId="12" priority="8" operator="lessThan">
      <formula>0</formula>
    </cfRule>
  </conditionalFormatting>
  <conditionalFormatting sqref="S15:V15">
    <cfRule type="cellIs" dxfId="11" priority="13" operator="lessThan">
      <formula>0</formula>
    </cfRule>
  </conditionalFormatting>
  <conditionalFormatting sqref="Q22:V22">
    <cfRule type="cellIs" dxfId="10" priority="10" operator="greater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Q21:V21">
    <cfRule type="cellIs" dxfId="7" priority="7" operator="lessThan">
      <formula>0</formula>
    </cfRule>
  </conditionalFormatting>
  <conditionalFormatting sqref="Q12:Q16">
    <cfRule type="cellIs" dxfId="6" priority="2" operator="lessThan">
      <formula>0</formula>
    </cfRule>
  </conditionalFormatting>
  <conditionalFormatting sqref="R12:R16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99"/>
  </sheetPr>
  <dimension ref="A1:C21"/>
  <sheetViews>
    <sheetView workbookViewId="0">
      <selection activeCell="C19" sqref="C19"/>
    </sheetView>
  </sheetViews>
  <sheetFormatPr defaultColWidth="9.21875" defaultRowHeight="14.4" x14ac:dyDescent="0.3"/>
  <cols>
    <col min="1" max="1" width="24.44140625" style="1" customWidth="1"/>
    <col min="2" max="2" width="33.44140625" style="1" customWidth="1"/>
    <col min="3" max="3" width="81" style="1" customWidth="1"/>
    <col min="4" max="16384" width="9.21875" style="1"/>
  </cols>
  <sheetData>
    <row r="1" spans="1:3" ht="24" thickBot="1" x14ac:dyDescent="0.5">
      <c r="A1" s="38" t="s">
        <v>270</v>
      </c>
      <c r="B1" s="39"/>
      <c r="C1" s="40"/>
    </row>
    <row r="2" spans="1:3" s="258" customFormat="1" ht="24" thickTop="1" x14ac:dyDescent="0.45">
      <c r="A2" s="255"/>
      <c r="B2" s="256"/>
      <c r="C2" s="257"/>
    </row>
    <row r="3" spans="1:3" ht="19.8" x14ac:dyDescent="0.4">
      <c r="A3" s="37" t="s">
        <v>12</v>
      </c>
    </row>
    <row r="4" spans="1:3" s="2" customFormat="1" x14ac:dyDescent="0.3">
      <c r="A4" s="3" t="s">
        <v>8</v>
      </c>
      <c r="B4" s="4"/>
      <c r="C4" s="5"/>
    </row>
    <row r="5" spans="1:3" x14ac:dyDescent="0.3">
      <c r="A5" s="6" t="s">
        <v>9</v>
      </c>
      <c r="B5" s="7"/>
      <c r="C5" s="8"/>
    </row>
    <row r="6" spans="1:3" x14ac:dyDescent="0.3">
      <c r="A6" s="6"/>
      <c r="B6" s="7"/>
      <c r="C6" s="8"/>
    </row>
    <row r="7" spans="1:3" x14ac:dyDescent="0.3">
      <c r="A7" s="14" t="s">
        <v>0</v>
      </c>
      <c r="B7" s="15" t="s">
        <v>1</v>
      </c>
      <c r="C7" s="56" t="s">
        <v>2</v>
      </c>
    </row>
    <row r="8" spans="1:3" x14ac:dyDescent="0.3">
      <c r="A8" s="18" t="s">
        <v>290</v>
      </c>
      <c r="B8" s="308"/>
      <c r="C8" s="17" t="s">
        <v>10</v>
      </c>
    </row>
    <row r="9" spans="1:3" x14ac:dyDescent="0.3">
      <c r="A9" s="18"/>
      <c r="B9" s="16"/>
      <c r="C9" s="17"/>
    </row>
    <row r="10" spans="1:3" x14ac:dyDescent="0.3">
      <c r="A10" s="18" t="s">
        <v>3</v>
      </c>
      <c r="B10" s="9"/>
      <c r="C10" s="57" t="s">
        <v>4</v>
      </c>
    </row>
    <row r="11" spans="1:3" x14ac:dyDescent="0.3">
      <c r="A11" s="19"/>
      <c r="B11" s="16"/>
      <c r="C11" s="17" t="s">
        <v>5</v>
      </c>
    </row>
    <row r="12" spans="1:3" x14ac:dyDescent="0.3">
      <c r="A12" s="20"/>
      <c r="B12" s="21"/>
      <c r="C12" s="22"/>
    </row>
    <row r="14" spans="1:3" ht="19.8" x14ac:dyDescent="0.4">
      <c r="A14" s="37" t="s">
        <v>11</v>
      </c>
    </row>
    <row r="15" spans="1:3" x14ac:dyDescent="0.3">
      <c r="A15" s="23"/>
      <c r="B15" s="24"/>
      <c r="C15" s="25"/>
    </row>
    <row r="16" spans="1:3" ht="15.6" x14ac:dyDescent="0.3">
      <c r="A16" s="26" t="s">
        <v>6</v>
      </c>
      <c r="B16" s="115" t="s">
        <v>203</v>
      </c>
      <c r="C16" s="11"/>
    </row>
    <row r="17" spans="1:3" x14ac:dyDescent="0.3">
      <c r="A17" s="12"/>
      <c r="B17" s="10"/>
      <c r="C17" s="11"/>
    </row>
    <row r="18" spans="1:3" ht="15.6" x14ac:dyDescent="0.3">
      <c r="A18" s="26" t="s">
        <v>7</v>
      </c>
      <c r="B18" s="116">
        <v>43921</v>
      </c>
      <c r="C18" s="11"/>
    </row>
    <row r="19" spans="1:3" x14ac:dyDescent="0.3">
      <c r="A19" s="12"/>
      <c r="B19" s="10"/>
      <c r="C19" s="11"/>
    </row>
    <row r="20" spans="1:3" ht="15.6" x14ac:dyDescent="0.3">
      <c r="A20" s="26" t="s">
        <v>14</v>
      </c>
      <c r="B20" s="116" t="s">
        <v>157</v>
      </c>
      <c r="C20" s="11"/>
    </row>
    <row r="21" spans="1:3" x14ac:dyDescent="0.3">
      <c r="A21" s="13"/>
      <c r="B21" s="55"/>
      <c r="C21" s="5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1" sqref="H11"/>
    </sheetView>
  </sheetViews>
  <sheetFormatPr defaultColWidth="8.77734375" defaultRowHeight="14.4" x14ac:dyDescent="0.3"/>
  <cols>
    <col min="1" max="1" width="29.44140625" style="27" customWidth="1"/>
    <col min="2" max="2" width="13.5546875" style="27" customWidth="1"/>
    <col min="3" max="7" width="13.44140625" style="27" customWidth="1"/>
    <col min="8" max="8" width="17.21875" style="27" customWidth="1"/>
    <col min="9" max="16384" width="8.77734375" style="27"/>
  </cols>
  <sheetData>
    <row r="1" spans="1:8" ht="23.4" x14ac:dyDescent="0.45">
      <c r="A1" s="253" t="s">
        <v>225</v>
      </c>
      <c r="B1" s="253"/>
      <c r="C1" s="253"/>
      <c r="D1" s="253"/>
      <c r="E1" s="253"/>
      <c r="F1" s="253"/>
      <c r="G1" s="253"/>
      <c r="H1" s="253"/>
    </row>
    <row r="2" spans="1:8" x14ac:dyDescent="0.3">
      <c r="A2" s="259" t="str">
        <f>"DCF ("&amp;SubHeader&amp;")"</f>
        <v>DCF (USD)</v>
      </c>
      <c r="B2" s="260"/>
    </row>
    <row r="3" spans="1:8" x14ac:dyDescent="0.3">
      <c r="B3" s="260"/>
    </row>
    <row r="4" spans="1:8" ht="19.8" x14ac:dyDescent="0.4">
      <c r="A4" s="261" t="s">
        <v>197</v>
      </c>
    </row>
    <row r="5" spans="1:8" ht="15.75" customHeight="1" x14ac:dyDescent="0.3">
      <c r="A5" s="27" t="s">
        <v>226</v>
      </c>
      <c r="B5" s="302">
        <v>0</v>
      </c>
    </row>
    <row r="6" spans="1:8" ht="15.75" customHeight="1" x14ac:dyDescent="0.3">
      <c r="A6" s="27" t="s">
        <v>231</v>
      </c>
      <c r="B6" s="302">
        <v>0.05</v>
      </c>
    </row>
    <row r="7" spans="1:8" ht="15.75" customHeight="1" x14ac:dyDescent="0.4">
      <c r="A7" s="262"/>
    </row>
    <row r="8" spans="1:8" ht="19.8" x14ac:dyDescent="0.4">
      <c r="A8" s="261" t="s">
        <v>233</v>
      </c>
    </row>
    <row r="9" spans="1:8" x14ac:dyDescent="0.3">
      <c r="B9" s="352" t="s">
        <v>212</v>
      </c>
      <c r="C9" s="352"/>
      <c r="D9" s="352"/>
      <c r="E9" s="352"/>
      <c r="F9" s="352"/>
      <c r="G9" s="352"/>
    </row>
    <row r="10" spans="1:8" x14ac:dyDescent="0.3">
      <c r="A10" s="30" t="s">
        <v>280</v>
      </c>
      <c r="B10" s="263" t="s">
        <v>205</v>
      </c>
      <c r="C10" s="263" t="s">
        <v>206</v>
      </c>
      <c r="D10" s="263" t="s">
        <v>145</v>
      </c>
      <c r="E10" s="263" t="s">
        <v>146</v>
      </c>
      <c r="F10" s="263" t="s">
        <v>147</v>
      </c>
      <c r="G10" s="263" t="s">
        <v>243</v>
      </c>
    </row>
    <row r="11" spans="1:8" x14ac:dyDescent="0.3">
      <c r="A11" s="92" t="s">
        <v>271</v>
      </c>
      <c r="B11" s="60">
        <f>'Cash Flow'!S8</f>
        <v>43921</v>
      </c>
      <c r="C11" s="60">
        <f>'Cash Flow'!T8</f>
        <v>44285</v>
      </c>
      <c r="D11" s="60">
        <f>'Cash Flow'!U8</f>
        <v>44650</v>
      </c>
      <c r="E11" s="60">
        <f>'Cash Flow'!V8</f>
        <v>45015</v>
      </c>
      <c r="F11" s="60">
        <f>'Cash Flow'!W8</f>
        <v>45381</v>
      </c>
      <c r="G11" s="60">
        <f>'Cash Flow'!X8</f>
        <v>45746</v>
      </c>
    </row>
    <row r="12" spans="1:8" x14ac:dyDescent="0.3">
      <c r="A12" s="264"/>
      <c r="B12" s="166"/>
      <c r="C12" s="166"/>
      <c r="D12" s="166"/>
      <c r="E12" s="166"/>
      <c r="F12" s="166"/>
      <c r="G12" s="166"/>
    </row>
    <row r="13" spans="1:8" x14ac:dyDescent="0.3">
      <c r="A13" s="27" t="s">
        <v>228</v>
      </c>
      <c r="B13" s="82">
        <f>'Income Statement'!R19</f>
        <v>0</v>
      </c>
      <c r="C13" s="82">
        <f>'Income Statement'!S19</f>
        <v>0</v>
      </c>
      <c r="D13" s="82">
        <f>'Income Statement'!T19</f>
        <v>0</v>
      </c>
      <c r="E13" s="82">
        <f>'Income Statement'!U19</f>
        <v>0</v>
      </c>
      <c r="F13" s="82">
        <f>'Income Statement'!V19</f>
        <v>0</v>
      </c>
      <c r="G13" s="82">
        <f>'Income Statement'!W19</f>
        <v>0</v>
      </c>
    </row>
    <row r="14" spans="1:8" x14ac:dyDescent="0.3">
      <c r="A14" s="27" t="s">
        <v>107</v>
      </c>
      <c r="B14" s="82">
        <f>'Income Statement'!R24</f>
        <v>0</v>
      </c>
      <c r="C14" s="82">
        <f>'Income Statement'!S24</f>
        <v>0</v>
      </c>
      <c r="D14" s="82">
        <f>'Income Statement'!T24</f>
        <v>0</v>
      </c>
      <c r="E14" s="82">
        <f>'Income Statement'!U24</f>
        <v>0</v>
      </c>
      <c r="F14" s="82">
        <f>'Income Statement'!V24</f>
        <v>0</v>
      </c>
      <c r="G14" s="82">
        <f>'Income Statement'!W24</f>
        <v>0</v>
      </c>
    </row>
    <row r="15" spans="1:8" x14ac:dyDescent="0.3">
      <c r="A15" s="27" t="s">
        <v>82</v>
      </c>
      <c r="B15" s="82">
        <f>('Income Statement'!R18)*-1</f>
        <v>0</v>
      </c>
      <c r="C15" s="82">
        <f>('Income Statement'!S18)*-1</f>
        <v>0</v>
      </c>
      <c r="D15" s="82">
        <f>('Income Statement'!T18)*-1</f>
        <v>0</v>
      </c>
      <c r="E15" s="82">
        <f>('Income Statement'!U18)*-1</f>
        <v>0</v>
      </c>
      <c r="F15" s="82">
        <f>('Income Statement'!V18)*-1</f>
        <v>0</v>
      </c>
      <c r="G15" s="82">
        <f>('Income Statement'!W18)*-1</f>
        <v>0</v>
      </c>
    </row>
    <row r="16" spans="1:8" x14ac:dyDescent="0.3">
      <c r="A16" s="27" t="s">
        <v>46</v>
      </c>
      <c r="B16" s="82">
        <f>'Capital Expenditures'!R52</f>
        <v>0</v>
      </c>
      <c r="C16" s="82">
        <f>'Capital Expenditures'!S52</f>
        <v>0</v>
      </c>
      <c r="D16" s="82">
        <f>'Capital Expenditures'!T52</f>
        <v>0</v>
      </c>
      <c r="E16" s="82">
        <f>'Capital Expenditures'!U52</f>
        <v>0</v>
      </c>
      <c r="F16" s="82">
        <f>'Capital Expenditures'!V52</f>
        <v>0</v>
      </c>
      <c r="G16" s="82">
        <f>'Capital Expenditures'!W52</f>
        <v>0</v>
      </c>
    </row>
    <row r="17" spans="1:8" x14ac:dyDescent="0.3">
      <c r="A17" s="27" t="s">
        <v>199</v>
      </c>
      <c r="B17" s="82">
        <f>'Cash Flow'!S16</f>
        <v>0</v>
      </c>
      <c r="C17" s="82">
        <f>'Cash Flow'!T16</f>
        <v>0</v>
      </c>
      <c r="D17" s="82">
        <f>'Cash Flow'!U16</f>
        <v>0</v>
      </c>
      <c r="E17" s="82">
        <f>'Cash Flow'!V16</f>
        <v>0</v>
      </c>
      <c r="F17" s="82">
        <f>'Cash Flow'!W16</f>
        <v>0</v>
      </c>
      <c r="G17" s="82">
        <f>'Cash Flow'!X16</f>
        <v>0</v>
      </c>
    </row>
    <row r="18" spans="1:8" x14ac:dyDescent="0.3">
      <c r="A18" s="27" t="s">
        <v>229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265" t="s">
        <v>232</v>
      </c>
    </row>
    <row r="19" spans="1:8" x14ac:dyDescent="0.3">
      <c r="A19" s="27" t="s">
        <v>227</v>
      </c>
      <c r="B19" s="82">
        <f>B13+B14+B15-B16+B17+B18</f>
        <v>0</v>
      </c>
      <c r="C19" s="82">
        <f t="shared" ref="C19:G19" si="0">C13+C14+C15-C16+C17+C18</f>
        <v>0</v>
      </c>
      <c r="D19" s="82">
        <f>D13+D14+D15-D16+D17+D18</f>
        <v>0</v>
      </c>
      <c r="E19" s="82">
        <f t="shared" si="0"/>
        <v>0</v>
      </c>
      <c r="F19" s="82">
        <f t="shared" si="0"/>
        <v>0</v>
      </c>
      <c r="G19" s="82">
        <f t="shared" si="0"/>
        <v>0</v>
      </c>
      <c r="H19" s="240">
        <f>G19*(1+B6)/(B5-B6)</f>
        <v>0</v>
      </c>
    </row>
    <row r="20" spans="1:8" x14ac:dyDescent="0.3">
      <c r="A20" s="27" t="s">
        <v>273</v>
      </c>
      <c r="B20" s="266">
        <f>1/(1+B5)</f>
        <v>1</v>
      </c>
      <c r="C20" s="266">
        <f t="shared" ref="C20:H20" si="1">B20/(1+$B$5)</f>
        <v>1</v>
      </c>
      <c r="D20" s="266">
        <f t="shared" si="1"/>
        <v>1</v>
      </c>
      <c r="E20" s="266">
        <f t="shared" si="1"/>
        <v>1</v>
      </c>
      <c r="F20" s="266">
        <f t="shared" si="1"/>
        <v>1</v>
      </c>
      <c r="G20" s="266">
        <f t="shared" si="1"/>
        <v>1</v>
      </c>
      <c r="H20" s="266">
        <f t="shared" si="1"/>
        <v>1</v>
      </c>
    </row>
    <row r="21" spans="1:8" x14ac:dyDescent="0.3">
      <c r="A21" s="27" t="s">
        <v>272</v>
      </c>
      <c r="B21" s="267">
        <f t="shared" ref="B21:H21" si="2">B19*B20</f>
        <v>0</v>
      </c>
      <c r="C21" s="267">
        <f t="shared" si="2"/>
        <v>0</v>
      </c>
      <c r="D21" s="267">
        <f t="shared" si="2"/>
        <v>0</v>
      </c>
      <c r="E21" s="267">
        <f t="shared" si="2"/>
        <v>0</v>
      </c>
      <c r="F21" s="267">
        <f t="shared" si="2"/>
        <v>0</v>
      </c>
      <c r="G21" s="267">
        <f t="shared" si="2"/>
        <v>0</v>
      </c>
      <c r="H21" s="267">
        <f t="shared" si="2"/>
        <v>0</v>
      </c>
    </row>
    <row r="22" spans="1:8" x14ac:dyDescent="0.3">
      <c r="A22" s="27" t="s">
        <v>234</v>
      </c>
      <c r="B22" s="51">
        <f>NPV(B5,B19:H19)</f>
        <v>0</v>
      </c>
    </row>
    <row r="24" spans="1:8" x14ac:dyDescent="0.3">
      <c r="B24" s="267"/>
    </row>
    <row r="27" spans="1:8" x14ac:dyDescent="0.3">
      <c r="A27" s="268"/>
    </row>
  </sheetData>
  <mergeCells count="1">
    <mergeCell ref="B9:G9"/>
  </mergeCells>
  <conditionalFormatting sqref="B22">
    <cfRule type="cellIs" dxfId="4" priority="3" operator="lessThan">
      <formula>0</formula>
    </cfRule>
  </conditionalFormatting>
  <conditionalFormatting sqref="B13:G18">
    <cfRule type="cellIs" dxfId="3" priority="2" operator="lessThan">
      <formula>0</formula>
    </cfRule>
  </conditionalFormatting>
  <conditionalFormatting sqref="B19:H1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J19" sqref="J19"/>
    </sheetView>
  </sheetViews>
  <sheetFormatPr defaultRowHeight="14.4" x14ac:dyDescent="0.3"/>
  <cols>
    <col min="1" max="1" width="17.44140625" bestFit="1" customWidth="1"/>
  </cols>
  <sheetData>
    <row r="2" spans="1:8" x14ac:dyDescent="0.3">
      <c r="A2" t="s">
        <v>222</v>
      </c>
    </row>
    <row r="3" spans="1:8" x14ac:dyDescent="0.3">
      <c r="A3" t="s">
        <v>259</v>
      </c>
      <c r="B3">
        <v>2019</v>
      </c>
      <c r="C3">
        <v>2020</v>
      </c>
      <c r="D3">
        <f>C3+1</f>
        <v>2021</v>
      </c>
      <c r="E3">
        <f>D3+1</f>
        <v>2022</v>
      </c>
      <c r="F3">
        <f>E3+1</f>
        <v>2023</v>
      </c>
      <c r="G3">
        <f>F3+1</f>
        <v>2024</v>
      </c>
      <c r="H3">
        <f>G3+1</f>
        <v>2025</v>
      </c>
    </row>
    <row r="4" spans="1:8" x14ac:dyDescent="0.3">
      <c r="A4" t="str">
        <f>'Cash Flow'!Q25</f>
        <v>Cash flows</v>
      </c>
      <c r="B4">
        <v>0</v>
      </c>
      <c r="C4">
        <f>'Cash Flow'!S25</f>
        <v>0</v>
      </c>
      <c r="D4">
        <f>'Cash Flow'!T25</f>
        <v>0</v>
      </c>
      <c r="E4">
        <f>'Cash Flow'!U25</f>
        <v>0</v>
      </c>
      <c r="F4">
        <f>'Cash Flow'!V25</f>
        <v>0</v>
      </c>
      <c r="G4">
        <f>'Cash Flow'!W25</f>
        <v>0</v>
      </c>
      <c r="H4">
        <f>'Cash Flow'!X25</f>
        <v>0</v>
      </c>
    </row>
    <row r="5" spans="1:8" x14ac:dyDescent="0.3">
      <c r="A5" t="s">
        <v>259</v>
      </c>
      <c r="B5">
        <v>2019</v>
      </c>
      <c r="C5">
        <v>2020</v>
      </c>
      <c r="D5">
        <f>C5+1</f>
        <v>2021</v>
      </c>
      <c r="E5">
        <f>D5+1</f>
        <v>2022</v>
      </c>
      <c r="F5">
        <f>E5+1</f>
        <v>2023</v>
      </c>
      <c r="G5">
        <f>F5+1</f>
        <v>2024</v>
      </c>
      <c r="H5">
        <f>G5+1</f>
        <v>2025</v>
      </c>
    </row>
    <row r="6" spans="1:8" x14ac:dyDescent="0.3">
      <c r="A6" t="str">
        <f>'Cash Flow'!Q26</f>
        <v>Ending cash balance</v>
      </c>
      <c r="C6">
        <f>'Cash Flow'!S26</f>
        <v>0</v>
      </c>
      <c r="D6">
        <f>'Cash Flow'!T26</f>
        <v>0</v>
      </c>
      <c r="E6">
        <f>'Cash Flow'!U26</f>
        <v>0</v>
      </c>
      <c r="F6">
        <f>'Cash Flow'!V26</f>
        <v>0</v>
      </c>
      <c r="G6">
        <f>'Cash Flow'!W26</f>
        <v>0</v>
      </c>
      <c r="H6">
        <f>'Cash Flow'!X26</f>
        <v>0</v>
      </c>
    </row>
    <row r="26" spans="1:11" x14ac:dyDescent="0.3">
      <c r="B26" t="s">
        <v>260</v>
      </c>
      <c r="C26" t="s">
        <v>261</v>
      </c>
      <c r="D26" t="s">
        <v>262</v>
      </c>
      <c r="E26" t="s">
        <v>263</v>
      </c>
      <c r="F26" t="s">
        <v>264</v>
      </c>
      <c r="G26" t="s">
        <v>265</v>
      </c>
      <c r="H26" t="s">
        <v>266</v>
      </c>
      <c r="I26" t="s">
        <v>267</v>
      </c>
      <c r="J26" t="s">
        <v>269</v>
      </c>
    </row>
    <row r="27" spans="1:11" x14ac:dyDescent="0.3">
      <c r="A27" t="s">
        <v>268</v>
      </c>
      <c r="B27">
        <v>500000</v>
      </c>
      <c r="C27" s="236">
        <f>'Cash Flow'!B36</f>
        <v>0</v>
      </c>
      <c r="D27" s="236">
        <f>'Cash Flow'!C36</f>
        <v>0</v>
      </c>
      <c r="E27" s="236">
        <f>'Cash Flow'!D36</f>
        <v>0</v>
      </c>
      <c r="F27" s="236">
        <f>'Cash Flow'!E36</f>
        <v>0</v>
      </c>
      <c r="G27" s="236">
        <f>'Cash Flow'!F36</f>
        <v>0</v>
      </c>
      <c r="H27" s="236">
        <f>'Cash Flow'!G36</f>
        <v>0</v>
      </c>
      <c r="I27" s="236">
        <f>'Cash Flow'!H36</f>
        <v>0</v>
      </c>
      <c r="J27" s="236">
        <f>'Cash Flow'!I36</f>
        <v>0</v>
      </c>
      <c r="K27" s="236" t="s">
        <v>224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opLeftCell="B1" workbookViewId="0">
      <selection activeCell="H23" sqref="H23"/>
    </sheetView>
  </sheetViews>
  <sheetFormatPr defaultRowHeight="14.4" x14ac:dyDescent="0.3"/>
  <cols>
    <col min="1" max="1" width="24.5546875" customWidth="1"/>
    <col min="2" max="9" width="11.77734375" customWidth="1"/>
    <col min="10" max="10" width="8.44140625" customWidth="1"/>
    <col min="11" max="14" width="11.77734375" customWidth="1"/>
    <col min="15" max="16" width="5.77734375" customWidth="1"/>
    <col min="17" max="17" width="27.21875" bestFit="1" customWidth="1"/>
    <col min="18" max="18" width="11.5546875" bestFit="1" customWidth="1"/>
    <col min="19" max="20" width="10.44140625" bestFit="1" customWidth="1"/>
    <col min="21" max="23" width="11.44140625" bestFit="1" customWidth="1"/>
  </cols>
  <sheetData>
    <row r="1" spans="1:23" ht="24" thickBot="1" x14ac:dyDescent="0.5">
      <c r="A1" s="38" t="s">
        <v>133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3" ht="15" thickTop="1" x14ac:dyDescent="0.3">
      <c r="A2" s="36" t="str">
        <f>SubHeader</f>
        <v>USD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23" ht="19.8" x14ac:dyDescent="0.4">
      <c r="A4" s="41" t="s">
        <v>134</v>
      </c>
    </row>
    <row r="5" spans="1:23" x14ac:dyDescent="0.3">
      <c r="A5" s="36"/>
      <c r="B5" s="343" t="s">
        <v>178</v>
      </c>
      <c r="C5" s="344"/>
      <c r="D5" s="344"/>
      <c r="E5" s="344"/>
      <c r="F5" s="344"/>
      <c r="G5" s="344"/>
      <c r="H5" s="344"/>
      <c r="I5" s="345"/>
      <c r="J5" s="243"/>
      <c r="K5" s="351" t="s">
        <v>179</v>
      </c>
      <c r="L5" s="352"/>
      <c r="M5" s="352"/>
      <c r="N5" s="353"/>
      <c r="R5" s="360" t="s">
        <v>212</v>
      </c>
      <c r="S5" s="361"/>
      <c r="T5" s="361"/>
      <c r="U5" s="361"/>
      <c r="V5" s="361"/>
      <c r="W5" s="362"/>
    </row>
    <row r="6" spans="1:23" x14ac:dyDescent="0.3">
      <c r="A6" s="36"/>
      <c r="B6" s="346" t="s">
        <v>205</v>
      </c>
      <c r="C6" s="347"/>
      <c r="D6" s="347"/>
      <c r="E6" s="348"/>
      <c r="F6" s="349" t="s">
        <v>206</v>
      </c>
      <c r="G6" s="347"/>
      <c r="H6" s="347"/>
      <c r="I6" s="350"/>
      <c r="J6" s="243"/>
      <c r="K6" s="108" t="s">
        <v>145</v>
      </c>
      <c r="L6" s="109" t="s">
        <v>146</v>
      </c>
      <c r="M6" s="109" t="s">
        <v>147</v>
      </c>
      <c r="N6" s="110" t="s">
        <v>243</v>
      </c>
      <c r="R6" s="108" t="s">
        <v>205</v>
      </c>
      <c r="S6" s="109" t="s">
        <v>206</v>
      </c>
      <c r="T6" s="109" t="s">
        <v>145</v>
      </c>
      <c r="U6" s="109" t="s">
        <v>146</v>
      </c>
      <c r="V6" s="109" t="s">
        <v>147</v>
      </c>
      <c r="W6" s="110" t="s">
        <v>243</v>
      </c>
    </row>
    <row r="7" spans="1:23" x14ac:dyDescent="0.3">
      <c r="A7" s="59"/>
      <c r="B7" s="104">
        <f>StartDate</f>
        <v>43921</v>
      </c>
      <c r="C7" s="60">
        <f>EDATE(B7,3)</f>
        <v>44012</v>
      </c>
      <c r="D7" s="60">
        <f t="shared" ref="D7:I7" si="0">EDATE(C7,3)</f>
        <v>44104</v>
      </c>
      <c r="E7" s="60">
        <f t="shared" si="0"/>
        <v>44195</v>
      </c>
      <c r="F7" s="60">
        <f t="shared" si="0"/>
        <v>44285</v>
      </c>
      <c r="G7" s="60">
        <f t="shared" si="0"/>
        <v>44377</v>
      </c>
      <c r="H7" s="60">
        <f t="shared" si="0"/>
        <v>44469</v>
      </c>
      <c r="I7" s="100">
        <f t="shared" si="0"/>
        <v>44560</v>
      </c>
      <c r="J7" s="243"/>
      <c r="K7" s="104">
        <f>EDATE(I7,3)</f>
        <v>44650</v>
      </c>
      <c r="L7" s="60">
        <f t="shared" ref="L7:N7" si="1">EDATE(K7,12)</f>
        <v>45015</v>
      </c>
      <c r="M7" s="60">
        <f t="shared" si="1"/>
        <v>45381</v>
      </c>
      <c r="N7" s="107">
        <f t="shared" si="1"/>
        <v>45746</v>
      </c>
      <c r="R7" s="231">
        <f>B7</f>
        <v>43921</v>
      </c>
      <c r="S7" s="232">
        <f>F7</f>
        <v>44285</v>
      </c>
      <c r="T7" s="232">
        <f>K7</f>
        <v>44650</v>
      </c>
      <c r="U7" s="232">
        <f t="shared" ref="U7:W8" si="2">L7</f>
        <v>45015</v>
      </c>
      <c r="V7" s="232">
        <f t="shared" si="2"/>
        <v>45381</v>
      </c>
      <c r="W7" s="233">
        <f t="shared" si="2"/>
        <v>45746</v>
      </c>
    </row>
    <row r="8" spans="1:23" x14ac:dyDescent="0.3">
      <c r="A8" t="s">
        <v>105</v>
      </c>
      <c r="B8" s="168">
        <f>'Income Statement'!B12</f>
        <v>0</v>
      </c>
      <c r="C8" s="82">
        <f>'Income Statement'!C12</f>
        <v>0</v>
      </c>
      <c r="D8" s="82">
        <f>'Income Statement'!D12</f>
        <v>0</v>
      </c>
      <c r="E8" s="82">
        <f>'Income Statement'!E12</f>
        <v>0</v>
      </c>
      <c r="F8" s="82">
        <f>'Income Statement'!F12</f>
        <v>0</v>
      </c>
      <c r="G8" s="82">
        <f>'Income Statement'!G12</f>
        <v>0</v>
      </c>
      <c r="H8" s="82">
        <f>'Income Statement'!H12</f>
        <v>0</v>
      </c>
      <c r="I8" s="169">
        <f>'Income Statement'!I12</f>
        <v>0</v>
      </c>
      <c r="J8" s="243"/>
      <c r="K8" s="168">
        <f>'Income Statement'!K12</f>
        <v>0</v>
      </c>
      <c r="L8" s="82">
        <f>'Income Statement'!L12</f>
        <v>0</v>
      </c>
      <c r="M8" s="82">
        <f>'Income Statement'!M12</f>
        <v>0</v>
      </c>
      <c r="N8" s="169">
        <f>'Income Statement'!N12</f>
        <v>0</v>
      </c>
      <c r="Q8" s="92" t="str">
        <f>A8</f>
        <v>Gross Profit</v>
      </c>
      <c r="R8" s="161">
        <f>SUM(B8:E8)</f>
        <v>0</v>
      </c>
      <c r="S8" s="93">
        <f>SUM(F8:I8)</f>
        <v>0</v>
      </c>
      <c r="T8" s="93">
        <f>K8</f>
        <v>0</v>
      </c>
      <c r="U8" s="93">
        <f t="shared" si="2"/>
        <v>0</v>
      </c>
      <c r="V8" s="93">
        <f t="shared" si="2"/>
        <v>0</v>
      </c>
      <c r="W8" s="162">
        <f t="shared" si="2"/>
        <v>0</v>
      </c>
    </row>
    <row r="9" spans="1:23" x14ac:dyDescent="0.3">
      <c r="A9" t="s">
        <v>108</v>
      </c>
      <c r="B9" s="168">
        <f>'Income Statement'!B16</f>
        <v>0</v>
      </c>
      <c r="C9" s="82">
        <f>'Income Statement'!C16</f>
        <v>0</v>
      </c>
      <c r="D9" s="82">
        <f>'Income Statement'!D16</f>
        <v>0</v>
      </c>
      <c r="E9" s="82">
        <f>'Income Statement'!E16</f>
        <v>0</v>
      </c>
      <c r="F9" s="82">
        <f>'Income Statement'!F16</f>
        <v>0</v>
      </c>
      <c r="G9" s="82">
        <f>'Income Statement'!G16</f>
        <v>0</v>
      </c>
      <c r="H9" s="82">
        <f>'Income Statement'!H16</f>
        <v>0</v>
      </c>
      <c r="I9" s="169">
        <f>'Income Statement'!I16</f>
        <v>0</v>
      </c>
      <c r="J9" s="243"/>
      <c r="K9" s="168">
        <f>'Income Statement'!K16</f>
        <v>0</v>
      </c>
      <c r="L9" s="82">
        <f>'Income Statement'!L16</f>
        <v>0</v>
      </c>
      <c r="M9" s="82">
        <f>'Income Statement'!M16</f>
        <v>0</v>
      </c>
      <c r="N9" s="169">
        <f>'Income Statement'!N16</f>
        <v>0</v>
      </c>
      <c r="Q9" s="92" t="str">
        <f>A9</f>
        <v>EBITDA</v>
      </c>
      <c r="R9" s="161">
        <f>SUM(B9:E9)</f>
        <v>0</v>
      </c>
      <c r="S9" s="93">
        <f>SUM(F9:I9)</f>
        <v>0</v>
      </c>
      <c r="T9" s="93">
        <f>K9</f>
        <v>0</v>
      </c>
      <c r="U9" s="93">
        <f t="shared" ref="U9:W10" si="3">L9</f>
        <v>0</v>
      </c>
      <c r="V9" s="93">
        <f t="shared" si="3"/>
        <v>0</v>
      </c>
      <c r="W9" s="162">
        <f t="shared" si="3"/>
        <v>0</v>
      </c>
    </row>
    <row r="10" spans="1:23" x14ac:dyDescent="0.3">
      <c r="A10" t="s">
        <v>126</v>
      </c>
      <c r="B10" s="168">
        <f>'Income Statement'!B19</f>
        <v>0</v>
      </c>
      <c r="C10" s="82">
        <f>'Income Statement'!C19</f>
        <v>0</v>
      </c>
      <c r="D10" s="82">
        <f>'Income Statement'!D19</f>
        <v>0</v>
      </c>
      <c r="E10" s="82">
        <f>'Income Statement'!E19</f>
        <v>0</v>
      </c>
      <c r="F10" s="82">
        <f>'Income Statement'!F19</f>
        <v>0</v>
      </c>
      <c r="G10" s="82">
        <f>'Income Statement'!G19</f>
        <v>0</v>
      </c>
      <c r="H10" s="82">
        <f>'Income Statement'!H19</f>
        <v>0</v>
      </c>
      <c r="I10" s="169">
        <f>'Income Statement'!I19</f>
        <v>0</v>
      </c>
      <c r="J10" s="243"/>
      <c r="K10" s="168">
        <f>'Income Statement'!K19</f>
        <v>0</v>
      </c>
      <c r="L10" s="82">
        <f>'Income Statement'!L19</f>
        <v>0</v>
      </c>
      <c r="M10" s="82">
        <f>'Income Statement'!M19</f>
        <v>0</v>
      </c>
      <c r="N10" s="169">
        <f>'Income Statement'!N19</f>
        <v>0</v>
      </c>
      <c r="Q10" s="92" t="str">
        <f t="shared" ref="Q10:Q12" si="4">A10</f>
        <v>Operating Profit (EBIT)</v>
      </c>
      <c r="R10" s="161">
        <f t="shared" ref="R10:R12" si="5">SUM(B10:E10)</f>
        <v>0</v>
      </c>
      <c r="S10" s="93">
        <f t="shared" ref="S10:S12" si="6">SUM(F10:I10)</f>
        <v>0</v>
      </c>
      <c r="T10" s="93">
        <f t="shared" ref="T10:T12" si="7">K10</f>
        <v>0</v>
      </c>
      <c r="U10" s="93">
        <f t="shared" si="3"/>
        <v>0</v>
      </c>
      <c r="V10" s="93">
        <f t="shared" si="3"/>
        <v>0</v>
      </c>
      <c r="W10" s="162">
        <f t="shared" si="3"/>
        <v>0</v>
      </c>
    </row>
    <row r="11" spans="1:23" x14ac:dyDescent="0.3">
      <c r="A11" t="s">
        <v>125</v>
      </c>
      <c r="B11" s="168">
        <f>'Income Statement'!B22</f>
        <v>0</v>
      </c>
      <c r="C11" s="82">
        <f>'Income Statement'!C22</f>
        <v>0</v>
      </c>
      <c r="D11" s="82">
        <f>'Income Statement'!D22</f>
        <v>0</v>
      </c>
      <c r="E11" s="82">
        <f>'Income Statement'!E22</f>
        <v>0</v>
      </c>
      <c r="F11" s="82">
        <f>'Income Statement'!F22</f>
        <v>0</v>
      </c>
      <c r="G11" s="82">
        <f>'Income Statement'!G22</f>
        <v>0</v>
      </c>
      <c r="H11" s="82">
        <f>'Income Statement'!H22</f>
        <v>0</v>
      </c>
      <c r="I11" s="169">
        <f>'Income Statement'!I22</f>
        <v>0</v>
      </c>
      <c r="J11" s="243"/>
      <c r="K11" s="168">
        <f>'Income Statement'!K22</f>
        <v>0</v>
      </c>
      <c r="L11" s="82">
        <f>'Income Statement'!L22</f>
        <v>0</v>
      </c>
      <c r="M11" s="82">
        <f>'Income Statement'!M22</f>
        <v>0</v>
      </c>
      <c r="N11" s="169">
        <f>'Income Statement'!N22</f>
        <v>0</v>
      </c>
      <c r="Q11" s="92" t="str">
        <f t="shared" si="4"/>
        <v>Profit before Tax</v>
      </c>
      <c r="R11" s="161">
        <f t="shared" si="5"/>
        <v>0</v>
      </c>
      <c r="S11" s="93">
        <f t="shared" si="6"/>
        <v>0</v>
      </c>
      <c r="T11" s="93">
        <f t="shared" si="7"/>
        <v>0</v>
      </c>
      <c r="U11" s="93">
        <f t="shared" ref="U11:U12" si="8">L11</f>
        <v>0</v>
      </c>
      <c r="V11" s="93">
        <f t="shared" ref="V11:V12" si="9">M11</f>
        <v>0</v>
      </c>
      <c r="W11" s="162">
        <f t="shared" ref="W11:W12" si="10">N11</f>
        <v>0</v>
      </c>
    </row>
    <row r="12" spans="1:23" x14ac:dyDescent="0.3">
      <c r="A12" t="s">
        <v>127</v>
      </c>
      <c r="B12" s="168">
        <f>'Income Statement'!B25</f>
        <v>0</v>
      </c>
      <c r="C12" s="82">
        <f>'Income Statement'!C25</f>
        <v>0</v>
      </c>
      <c r="D12" s="82">
        <f>'Income Statement'!D25</f>
        <v>0</v>
      </c>
      <c r="E12" s="82">
        <f>'Income Statement'!E25</f>
        <v>0</v>
      </c>
      <c r="F12" s="82">
        <f>'Income Statement'!F25</f>
        <v>0</v>
      </c>
      <c r="G12" s="82">
        <f>'Income Statement'!G25</f>
        <v>0</v>
      </c>
      <c r="H12" s="82">
        <f>'Income Statement'!H25</f>
        <v>0</v>
      </c>
      <c r="I12" s="169">
        <f>'Income Statement'!I25</f>
        <v>0</v>
      </c>
      <c r="J12" s="243"/>
      <c r="K12" s="168">
        <f>'Income Statement'!K25</f>
        <v>0</v>
      </c>
      <c r="L12" s="82">
        <f>'Income Statement'!L25</f>
        <v>0</v>
      </c>
      <c r="M12" s="82">
        <f>'Income Statement'!M25</f>
        <v>0</v>
      </c>
      <c r="N12" s="169">
        <f>'Income Statement'!N25</f>
        <v>0</v>
      </c>
      <c r="Q12" s="92" t="str">
        <f t="shared" si="4"/>
        <v>Profit after Tax (Net Income)</v>
      </c>
      <c r="R12" s="161">
        <f t="shared" si="5"/>
        <v>0</v>
      </c>
      <c r="S12" s="93">
        <f t="shared" si="6"/>
        <v>0</v>
      </c>
      <c r="T12" s="93">
        <f t="shared" si="7"/>
        <v>0</v>
      </c>
      <c r="U12" s="93">
        <f t="shared" si="8"/>
        <v>0</v>
      </c>
      <c r="V12" s="93">
        <f t="shared" si="9"/>
        <v>0</v>
      </c>
      <c r="W12" s="162">
        <f t="shared" si="10"/>
        <v>0</v>
      </c>
    </row>
    <row r="42" spans="1:18" x14ac:dyDescent="0.3">
      <c r="A42" t="s">
        <v>223</v>
      </c>
    </row>
    <row r="43" spans="1:18" x14ac:dyDescent="0.3">
      <c r="B43" s="76">
        <v>43830</v>
      </c>
      <c r="C43" s="76">
        <v>43831</v>
      </c>
      <c r="D43" s="76">
        <v>43832</v>
      </c>
      <c r="E43" s="76">
        <f>'Cash Flow'!C8</f>
        <v>44012</v>
      </c>
      <c r="F43" s="76">
        <f>'Cash Flow'!D8</f>
        <v>44104</v>
      </c>
      <c r="G43" s="76">
        <f>'Cash Flow'!E8</f>
        <v>44195</v>
      </c>
      <c r="H43" s="76">
        <v>44196</v>
      </c>
      <c r="I43" s="76">
        <v>44197</v>
      </c>
      <c r="J43" s="76"/>
      <c r="K43" s="76">
        <v>44198</v>
      </c>
      <c r="L43" s="76">
        <f>'Cash Flow'!G8</f>
        <v>44377</v>
      </c>
      <c r="M43" s="76">
        <f>'Cash Flow'!H8</f>
        <v>44469</v>
      </c>
      <c r="N43" s="76">
        <f>'Cash Flow'!I8</f>
        <v>44560</v>
      </c>
      <c r="O43" s="76">
        <f>'Cash Flow'!K8</f>
        <v>44650</v>
      </c>
      <c r="P43" s="76">
        <f>'Cash Flow'!L8</f>
        <v>45015</v>
      </c>
      <c r="Q43" s="76">
        <f>'Cash Flow'!M8</f>
        <v>45381</v>
      </c>
      <c r="R43" s="76">
        <f>'Cash Flow'!N8</f>
        <v>45746</v>
      </c>
    </row>
    <row r="44" spans="1:18" x14ac:dyDescent="0.3">
      <c r="A44" t="str">
        <f>'Cash Flow'!A34</f>
        <v>Cash Flow</v>
      </c>
      <c r="B44">
        <v>0</v>
      </c>
      <c r="C44">
        <v>500000</v>
      </c>
      <c r="D44">
        <f>'Cash Flow'!B34-500000</f>
        <v>-500000</v>
      </c>
      <c r="E44">
        <f>'Cash Flow'!C34</f>
        <v>0</v>
      </c>
      <c r="F44">
        <f>'Cash Flow'!D34</f>
        <v>0</v>
      </c>
      <c r="G44">
        <f>'Cash Flow'!E34</f>
        <v>0</v>
      </c>
      <c r="H44">
        <v>0</v>
      </c>
      <c r="I44">
        <v>2000000</v>
      </c>
      <c r="K44">
        <f>'Cash Flow'!F34-2000000</f>
        <v>-2000000</v>
      </c>
      <c r="L44">
        <f>'Cash Flow'!G34</f>
        <v>0</v>
      </c>
      <c r="M44">
        <f>'Cash Flow'!H34</f>
        <v>0</v>
      </c>
      <c r="N44">
        <f>'Cash Flow'!I34</f>
        <v>0</v>
      </c>
      <c r="O44">
        <f>'Cash Flow'!K34</f>
        <v>0</v>
      </c>
      <c r="P44">
        <f>'Cash Flow'!L34</f>
        <v>0</v>
      </c>
      <c r="Q44">
        <f>'Cash Flow'!M34</f>
        <v>0</v>
      </c>
      <c r="R44">
        <f>'Cash Flow'!N34</f>
        <v>0</v>
      </c>
    </row>
    <row r="45" spans="1:18" x14ac:dyDescent="0.3">
      <c r="A45" t="str">
        <f>'Cash Flow'!A36</f>
        <v>Ending Cash Balance</v>
      </c>
      <c r="B45">
        <v>0</v>
      </c>
      <c r="C45">
        <f>C44+B45</f>
        <v>500000</v>
      </c>
      <c r="D45">
        <f t="shared" ref="D45:R45" si="11">D44+C45</f>
        <v>0</v>
      </c>
      <c r="E45">
        <f t="shared" si="11"/>
        <v>0</v>
      </c>
      <c r="F45">
        <f t="shared" si="11"/>
        <v>0</v>
      </c>
      <c r="G45">
        <f t="shared" si="11"/>
        <v>0</v>
      </c>
      <c r="H45">
        <f t="shared" si="11"/>
        <v>0</v>
      </c>
      <c r="I45">
        <f t="shared" si="11"/>
        <v>2000000</v>
      </c>
      <c r="K45">
        <f>K44+I45</f>
        <v>0</v>
      </c>
      <c r="L45">
        <f t="shared" si="11"/>
        <v>0</v>
      </c>
      <c r="M45">
        <f t="shared" si="11"/>
        <v>0</v>
      </c>
      <c r="N45">
        <f t="shared" si="11"/>
        <v>0</v>
      </c>
      <c r="O45">
        <f t="shared" si="11"/>
        <v>0</v>
      </c>
      <c r="P45">
        <f t="shared" si="11"/>
        <v>0</v>
      </c>
      <c r="Q45">
        <f t="shared" si="11"/>
        <v>0</v>
      </c>
      <c r="R45">
        <f t="shared" si="11"/>
        <v>0</v>
      </c>
    </row>
    <row r="47" spans="1:18" x14ac:dyDescent="0.3">
      <c r="C47" s="76">
        <f>D43</f>
        <v>43832</v>
      </c>
      <c r="D47" s="76">
        <f t="shared" ref="D47:F47" si="12">E43</f>
        <v>44012</v>
      </c>
      <c r="E47" s="76">
        <f t="shared" si="12"/>
        <v>44104</v>
      </c>
      <c r="F47" s="76">
        <f t="shared" si="12"/>
        <v>44195</v>
      </c>
      <c r="G47" s="76">
        <f>K43</f>
        <v>44198</v>
      </c>
      <c r="K47" s="76">
        <f t="shared" ref="K47:Q47" si="13">L43</f>
        <v>44377</v>
      </c>
      <c r="L47" s="76">
        <f t="shared" si="13"/>
        <v>44469</v>
      </c>
      <c r="M47" s="76">
        <f t="shared" si="13"/>
        <v>44560</v>
      </c>
      <c r="N47" s="76">
        <f t="shared" si="13"/>
        <v>44650</v>
      </c>
      <c r="O47" s="76">
        <f t="shared" si="13"/>
        <v>45015</v>
      </c>
      <c r="P47" s="76">
        <f t="shared" si="13"/>
        <v>45381</v>
      </c>
      <c r="Q47" s="76">
        <f t="shared" si="13"/>
        <v>45746</v>
      </c>
      <c r="R47" s="76" t="e">
        <f>#REF!</f>
        <v>#REF!</v>
      </c>
    </row>
    <row r="48" spans="1:18" x14ac:dyDescent="0.3">
      <c r="A48" t="str">
        <f>A44</f>
        <v>Cash Flow</v>
      </c>
      <c r="C48" s="213">
        <f t="shared" ref="C48:G49" si="14">C44</f>
        <v>500000</v>
      </c>
      <c r="D48" s="213">
        <f t="shared" si="14"/>
        <v>-500000</v>
      </c>
      <c r="E48" s="213">
        <f t="shared" si="14"/>
        <v>0</v>
      </c>
      <c r="F48" s="213">
        <f t="shared" si="14"/>
        <v>0</v>
      </c>
      <c r="G48" s="213">
        <f t="shared" si="14"/>
        <v>0</v>
      </c>
      <c r="K48" s="213">
        <f t="shared" ref="K48:R49" si="15">K44</f>
        <v>-2000000</v>
      </c>
      <c r="L48" s="213">
        <f t="shared" si="15"/>
        <v>0</v>
      </c>
      <c r="M48" s="213">
        <f t="shared" si="15"/>
        <v>0</v>
      </c>
      <c r="N48" s="213">
        <f t="shared" si="15"/>
        <v>0</v>
      </c>
      <c r="O48" s="213">
        <f t="shared" si="15"/>
        <v>0</v>
      </c>
      <c r="P48" s="213">
        <f t="shared" si="15"/>
        <v>0</v>
      </c>
      <c r="Q48" s="213">
        <f t="shared" si="15"/>
        <v>0</v>
      </c>
      <c r="R48" s="213">
        <f t="shared" si="15"/>
        <v>0</v>
      </c>
    </row>
    <row r="49" spans="1:18" x14ac:dyDescent="0.3">
      <c r="A49" t="str">
        <f>A45</f>
        <v>Ending Cash Balance</v>
      </c>
      <c r="C49" s="213">
        <f t="shared" si="14"/>
        <v>500000</v>
      </c>
      <c r="D49" s="213">
        <f t="shared" si="14"/>
        <v>0</v>
      </c>
      <c r="E49" s="213">
        <f t="shared" si="14"/>
        <v>0</v>
      </c>
      <c r="F49" s="213">
        <f>F45</f>
        <v>0</v>
      </c>
      <c r="G49" s="213">
        <f t="shared" si="14"/>
        <v>0</v>
      </c>
      <c r="K49" s="213">
        <f t="shared" si="15"/>
        <v>0</v>
      </c>
      <c r="L49" s="213">
        <f t="shared" si="15"/>
        <v>0</v>
      </c>
      <c r="M49" s="213">
        <f t="shared" si="15"/>
        <v>0</v>
      </c>
      <c r="N49" s="213">
        <f t="shared" si="15"/>
        <v>0</v>
      </c>
      <c r="O49" s="213">
        <f t="shared" si="15"/>
        <v>0</v>
      </c>
      <c r="P49" s="213">
        <f t="shared" si="15"/>
        <v>0</v>
      </c>
      <c r="Q49" s="213">
        <f t="shared" si="15"/>
        <v>0</v>
      </c>
      <c r="R49" s="213">
        <f t="shared" si="15"/>
        <v>0</v>
      </c>
    </row>
    <row r="51" spans="1:18" x14ac:dyDescent="0.3">
      <c r="E51" s="234"/>
      <c r="L51" s="234"/>
    </row>
    <row r="70" spans="1:17" x14ac:dyDescent="0.3">
      <c r="A70">
        <f>'Cash Flow'!A41</f>
        <v>0</v>
      </c>
    </row>
    <row r="71" spans="1:17" x14ac:dyDescent="0.3">
      <c r="A71">
        <f>'Cash Flow'!A42</f>
        <v>0</v>
      </c>
      <c r="D71" s="76">
        <f>'Cash Flow'!B42</f>
        <v>0</v>
      </c>
      <c r="E71" s="76">
        <f>'Cash Flow'!C42</f>
        <v>0</v>
      </c>
      <c r="F71" s="76">
        <f>'Cash Flow'!D42</f>
        <v>0</v>
      </c>
      <c r="G71" s="76">
        <f>'Cash Flow'!E42</f>
        <v>0</v>
      </c>
      <c r="H71" s="76">
        <f>'Cash Flow'!F42</f>
        <v>0</v>
      </c>
      <c r="I71" s="76">
        <f>'Cash Flow'!G42</f>
        <v>0</v>
      </c>
      <c r="J71" s="76"/>
      <c r="K71" s="76">
        <f>'Cash Flow'!H42</f>
        <v>0</v>
      </c>
      <c r="L71" s="76">
        <f>'Cash Flow'!I42</f>
        <v>0</v>
      </c>
      <c r="M71" s="76">
        <f>'Cash Flow'!K42</f>
        <v>0</v>
      </c>
      <c r="N71" s="76">
        <f>'Cash Flow'!L42</f>
        <v>0</v>
      </c>
      <c r="O71" s="76">
        <f>'Cash Flow'!M42</f>
        <v>0</v>
      </c>
      <c r="P71" s="76">
        <f>'Cash Flow'!N42</f>
        <v>0</v>
      </c>
      <c r="Q71" s="76">
        <f>'Cash Flow'!O42</f>
        <v>0</v>
      </c>
    </row>
    <row r="72" spans="1:17" x14ac:dyDescent="0.3">
      <c r="A72">
        <f>'Cash Flow'!A43</f>
        <v>0</v>
      </c>
      <c r="D72" s="213">
        <f>'Cash Flow'!B43</f>
        <v>0</v>
      </c>
      <c r="E72" s="213">
        <f>'Cash Flow'!C43</f>
        <v>0</v>
      </c>
      <c r="F72" s="213">
        <f>'Cash Flow'!D43</f>
        <v>0</v>
      </c>
      <c r="G72" s="213">
        <f>'Cash Flow'!E43</f>
        <v>0</v>
      </c>
      <c r="H72" s="213">
        <f>'Cash Flow'!F43</f>
        <v>0</v>
      </c>
      <c r="I72" s="213">
        <f>'Cash Flow'!G43</f>
        <v>0</v>
      </c>
      <c r="J72" s="213"/>
      <c r="K72" s="213">
        <f>'Cash Flow'!H43</f>
        <v>0</v>
      </c>
      <c r="L72" s="213">
        <f>'Cash Flow'!I43</f>
        <v>0</v>
      </c>
      <c r="M72" s="213">
        <f>'Cash Flow'!K43</f>
        <v>0</v>
      </c>
      <c r="N72" s="213">
        <f>'Cash Flow'!L43</f>
        <v>0</v>
      </c>
      <c r="O72" s="213">
        <f>'Cash Flow'!M43</f>
        <v>0</v>
      </c>
      <c r="P72" s="213">
        <f>'Cash Flow'!N43</f>
        <v>0</v>
      </c>
      <c r="Q72" s="213">
        <f>'Cash Flow'!O43</f>
        <v>0</v>
      </c>
    </row>
  </sheetData>
  <mergeCells count="5">
    <mergeCell ref="B5:I5"/>
    <mergeCell ref="K5:N5"/>
    <mergeCell ref="B6:E6"/>
    <mergeCell ref="F6:I6"/>
    <mergeCell ref="R5:W5"/>
  </mergeCells>
  <conditionalFormatting sqref="B8:I12 K8:N12">
    <cfRule type="cellIs" dxfId="1" priority="4" operator="lessThan">
      <formula>0</formula>
    </cfRule>
  </conditionalFormatting>
  <conditionalFormatting sqref="R8:W12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X56"/>
  <sheetViews>
    <sheetView topLeftCell="A22" workbookViewId="0">
      <selection activeCell="D47" sqref="D47"/>
    </sheetView>
  </sheetViews>
  <sheetFormatPr defaultRowHeight="14.4" x14ac:dyDescent="0.3"/>
  <cols>
    <col min="1" max="1" width="20.21875" customWidth="1"/>
    <col min="2" max="5" width="14.44140625" customWidth="1"/>
    <col min="6" max="6" width="15.44140625" customWidth="1"/>
    <col min="7" max="9" width="14.44140625" customWidth="1"/>
    <col min="10" max="10" width="10.77734375" customWidth="1"/>
    <col min="11" max="11" width="14.21875" customWidth="1"/>
    <col min="12" max="12" width="14.5546875" bestFit="1" customWidth="1"/>
    <col min="13" max="13" width="15.5546875" bestFit="1" customWidth="1"/>
    <col min="14" max="14" width="13.77734375" customWidth="1"/>
    <col min="15" max="15" width="10.77734375" bestFit="1" customWidth="1"/>
    <col min="16" max="16" width="3.77734375" customWidth="1"/>
    <col min="17" max="23" width="14.44140625" customWidth="1"/>
    <col min="24" max="24" width="3.77734375" customWidth="1"/>
  </cols>
  <sheetData>
    <row r="1" spans="1:24" ht="24.6" thickTop="1" thickBot="1" x14ac:dyDescent="0.5">
      <c r="A1" s="38" t="s">
        <v>24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224" t="str">
        <f>CompanyName &amp;" Revenue Forecast"</f>
        <v>WorkHorse Revenue Forecast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"Revenues ("&amp;SubHeader&amp;")"</f>
        <v>Revenues (USD)</v>
      </c>
      <c r="B2" s="97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ht="19.8" x14ac:dyDescent="0.4">
      <c r="A4" s="37" t="s">
        <v>16</v>
      </c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s="47" customFormat="1" ht="15.6" x14ac:dyDescent="0.3">
      <c r="A5" s="45"/>
      <c r="B5" s="291" t="s">
        <v>288</v>
      </c>
      <c r="C5" s="358" t="s">
        <v>18</v>
      </c>
      <c r="D5" s="358"/>
      <c r="E5" s="359"/>
      <c r="F5" s="291" t="s">
        <v>289</v>
      </c>
      <c r="G5" s="358" t="s">
        <v>18</v>
      </c>
      <c r="H5" s="358"/>
      <c r="I5" s="359"/>
      <c r="J5" s="291" t="s">
        <v>17</v>
      </c>
      <c r="K5" s="358" t="s">
        <v>18</v>
      </c>
      <c r="L5" s="358"/>
      <c r="M5" s="359"/>
      <c r="O5" s="46"/>
      <c r="P5" s="219"/>
      <c r="Q5" s="45"/>
      <c r="R5" s="45"/>
      <c r="S5" s="45"/>
      <c r="T5" s="45"/>
      <c r="U5" s="45"/>
      <c r="V5" s="45"/>
      <c r="W5" s="45"/>
      <c r="X5" s="220"/>
    </row>
    <row r="6" spans="1:24" x14ac:dyDescent="0.3">
      <c r="A6" s="49" t="s">
        <v>19</v>
      </c>
      <c r="B6" s="292">
        <v>2020</v>
      </c>
      <c r="C6" s="356"/>
      <c r="D6" s="356"/>
      <c r="E6" s="357"/>
      <c r="F6" s="292">
        <v>2020</v>
      </c>
      <c r="G6" s="356"/>
      <c r="H6" s="356"/>
      <c r="I6" s="357"/>
      <c r="J6" s="292">
        <v>2020</v>
      </c>
      <c r="K6" s="356"/>
      <c r="L6" s="356"/>
      <c r="M6" s="357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ht="15" customHeight="1" x14ac:dyDescent="0.3">
      <c r="A7" s="249" t="s">
        <v>247</v>
      </c>
      <c r="B7" s="293">
        <v>1</v>
      </c>
      <c r="C7" s="356"/>
      <c r="D7" s="356"/>
      <c r="E7" s="357"/>
      <c r="F7" s="293">
        <v>1</v>
      </c>
      <c r="G7" s="356"/>
      <c r="H7" s="356"/>
      <c r="I7" s="357"/>
      <c r="J7" s="293">
        <v>1</v>
      </c>
      <c r="K7" s="356"/>
      <c r="L7" s="356"/>
      <c r="M7" s="357"/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ht="15" customHeight="1" x14ac:dyDescent="0.3">
      <c r="A8" s="249" t="s">
        <v>249</v>
      </c>
      <c r="B8" s="294">
        <v>0.01</v>
      </c>
      <c r="C8" s="356"/>
      <c r="D8" s="356"/>
      <c r="E8" s="357"/>
      <c r="F8" s="294">
        <v>0.01</v>
      </c>
      <c r="G8" s="356"/>
      <c r="H8" s="356"/>
      <c r="I8" s="357"/>
      <c r="J8" s="294">
        <v>0.01</v>
      </c>
      <c r="K8" s="244"/>
      <c r="L8" s="244"/>
      <c r="M8" s="245"/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5" customHeight="1" x14ac:dyDescent="0.3">
      <c r="A9" s="49" t="s">
        <v>248</v>
      </c>
      <c r="B9" s="293">
        <v>1</v>
      </c>
      <c r="C9" s="356"/>
      <c r="D9" s="356"/>
      <c r="E9" s="357"/>
      <c r="F9" s="293">
        <v>1</v>
      </c>
      <c r="G9" s="356"/>
      <c r="H9" s="356"/>
      <c r="I9" s="357"/>
      <c r="J9" s="293">
        <v>1</v>
      </c>
      <c r="K9" s="356"/>
      <c r="L9" s="356"/>
      <c r="M9" s="357"/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ht="14.55" customHeight="1" x14ac:dyDescent="0.3">
      <c r="A10" s="50" t="s">
        <v>15</v>
      </c>
      <c r="B10" s="295">
        <v>0.01</v>
      </c>
      <c r="C10" s="354"/>
      <c r="D10" s="354"/>
      <c r="E10" s="355"/>
      <c r="F10" s="295">
        <v>0.01</v>
      </c>
      <c r="G10" s="354"/>
      <c r="H10" s="354"/>
      <c r="I10" s="355"/>
      <c r="J10" s="295">
        <v>0.01</v>
      </c>
      <c r="K10" s="354"/>
      <c r="L10" s="354"/>
      <c r="M10" s="355"/>
      <c r="O10" s="32"/>
      <c r="P10" s="217"/>
      <c r="Q10" s="27"/>
      <c r="R10" s="27"/>
      <c r="S10" s="27"/>
      <c r="T10" s="27"/>
      <c r="U10" s="27"/>
      <c r="V10" s="27"/>
      <c r="W10" s="27"/>
      <c r="X10" s="164"/>
    </row>
    <row r="11" spans="1:24" x14ac:dyDescent="0.3">
      <c r="A11" s="27"/>
      <c r="B11" s="28"/>
      <c r="C11" s="34"/>
      <c r="D11" s="34"/>
      <c r="E11" s="34"/>
      <c r="F11" s="34"/>
      <c r="G11" s="34"/>
      <c r="H11" s="35"/>
      <c r="I11" s="35"/>
      <c r="J11" s="35"/>
      <c r="K11" s="35"/>
      <c r="L11" s="35"/>
      <c r="M11" s="35"/>
      <c r="N11" s="35"/>
      <c r="O11" s="32"/>
      <c r="P11" s="217"/>
      <c r="Q11" s="27"/>
      <c r="R11" s="27"/>
      <c r="S11" s="27"/>
      <c r="T11" s="27"/>
      <c r="U11" s="27"/>
      <c r="V11" s="27"/>
      <c r="W11" s="27"/>
      <c r="X11" s="164"/>
    </row>
    <row r="12" spans="1:24" x14ac:dyDescent="0.3">
      <c r="A12" s="27"/>
      <c r="B12" s="28"/>
      <c r="C12" s="34"/>
      <c r="D12" s="34"/>
      <c r="E12" s="34"/>
      <c r="F12" s="34"/>
      <c r="G12" s="34"/>
      <c r="H12" s="35"/>
      <c r="I12" s="35"/>
      <c r="J12" s="35"/>
      <c r="K12" s="35"/>
      <c r="L12" s="35"/>
      <c r="M12" s="35"/>
      <c r="N12" s="35"/>
      <c r="O12" s="32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ht="19.8" x14ac:dyDescent="0.4">
      <c r="A13" s="41" t="s">
        <v>235</v>
      </c>
      <c r="O13" s="32"/>
      <c r="P13" s="217"/>
      <c r="Q13" s="27"/>
      <c r="R13" s="27"/>
      <c r="S13" s="27"/>
      <c r="T13" s="27"/>
      <c r="U13" s="27"/>
      <c r="V13" s="27"/>
      <c r="W13" s="27"/>
      <c r="X13" s="164"/>
    </row>
    <row r="14" spans="1:24" ht="19.8" x14ac:dyDescent="0.4">
      <c r="A14" s="41"/>
      <c r="B14" s="343" t="s">
        <v>238</v>
      </c>
      <c r="C14" s="344"/>
      <c r="D14" s="344"/>
      <c r="E14" s="344"/>
      <c r="F14" s="344"/>
      <c r="G14" s="344"/>
      <c r="H14" s="344"/>
      <c r="I14" s="345"/>
      <c r="J14" s="243"/>
      <c r="K14" s="351" t="s">
        <v>237</v>
      </c>
      <c r="L14" s="352"/>
      <c r="M14" s="352"/>
      <c r="N14" s="353"/>
      <c r="O14" s="32"/>
      <c r="P14" s="217"/>
      <c r="Q14" s="27"/>
      <c r="R14" s="27"/>
      <c r="S14" s="27"/>
      <c r="T14" s="27"/>
      <c r="U14" s="27"/>
      <c r="V14" s="27"/>
      <c r="W14" s="27"/>
      <c r="X14" s="164"/>
    </row>
    <row r="15" spans="1:24" x14ac:dyDescent="0.3">
      <c r="A15" s="36"/>
      <c r="B15" s="346" t="s">
        <v>205</v>
      </c>
      <c r="C15" s="347"/>
      <c r="D15" s="347"/>
      <c r="E15" s="348"/>
      <c r="F15" s="349" t="s">
        <v>206</v>
      </c>
      <c r="G15" s="347"/>
      <c r="H15" s="347"/>
      <c r="I15" s="350"/>
      <c r="J15" s="243"/>
      <c r="K15" s="108" t="s">
        <v>145</v>
      </c>
      <c r="L15" s="109" t="s">
        <v>146</v>
      </c>
      <c r="M15" s="109" t="s">
        <v>147</v>
      </c>
      <c r="N15" s="110" t="s">
        <v>243</v>
      </c>
      <c r="O15" s="32"/>
      <c r="P15" s="217"/>
      <c r="Q15" s="27"/>
      <c r="R15" s="27"/>
      <c r="S15" s="27"/>
      <c r="T15" s="27"/>
      <c r="U15" s="27"/>
      <c r="V15" s="27"/>
      <c r="W15" s="27"/>
      <c r="X15" s="164"/>
    </row>
    <row r="16" spans="1:24" x14ac:dyDescent="0.3">
      <c r="A16" s="141"/>
      <c r="B16" s="139">
        <f>StartDate</f>
        <v>43921</v>
      </c>
      <c r="C16" s="71">
        <f>EDATE(B16,3)</f>
        <v>44012</v>
      </c>
      <c r="D16" s="71">
        <f t="shared" ref="D16" si="0">EDATE(C16,3)</f>
        <v>44104</v>
      </c>
      <c r="E16" s="71">
        <f t="shared" ref="E16" si="1">EDATE(D16,3)</f>
        <v>44195</v>
      </c>
      <c r="F16" s="71">
        <f t="shared" ref="F16" si="2">EDATE(E16,3)</f>
        <v>44285</v>
      </c>
      <c r="G16" s="71">
        <f t="shared" ref="G16" si="3">EDATE(F16,3)</f>
        <v>44377</v>
      </c>
      <c r="H16" s="71">
        <f t="shared" ref="H16" si="4">EDATE(G16,3)</f>
        <v>44469</v>
      </c>
      <c r="I16" s="71">
        <f t="shared" ref="I16" si="5">EDATE(H16,3)</f>
        <v>44560</v>
      </c>
      <c r="J16" s="243"/>
      <c r="K16" s="71">
        <f>EDATE(I16,3)</f>
        <v>44650</v>
      </c>
      <c r="L16" s="71">
        <f t="shared" ref="L16" si="6">EDATE(K16,12)</f>
        <v>45015</v>
      </c>
      <c r="M16" s="71">
        <f t="shared" ref="M16" si="7">EDATE(L16,12)</f>
        <v>45381</v>
      </c>
      <c r="N16" s="140">
        <f t="shared" ref="N16" si="8">EDATE(M16,12)</f>
        <v>45746</v>
      </c>
      <c r="O16" s="32"/>
      <c r="P16" s="217"/>
      <c r="Q16" s="27"/>
      <c r="R16" s="27"/>
      <c r="S16" s="27"/>
      <c r="T16" s="27"/>
      <c r="U16" s="27"/>
      <c r="V16" s="27"/>
      <c r="W16" s="27"/>
      <c r="X16" s="164"/>
    </row>
    <row r="17" spans="1:24" x14ac:dyDescent="0.3">
      <c r="A17" s="42" t="str">
        <f>$B$5</f>
        <v>Market 1</v>
      </c>
      <c r="B17" s="105">
        <f t="shared" ref="B17:I17" si="9">$B$9*((1+$B$10)^(YEAR(B41)-$B$6))/4</f>
        <v>0.25</v>
      </c>
      <c r="C17" s="98">
        <f t="shared" si="9"/>
        <v>0.25</v>
      </c>
      <c r="D17" s="98">
        <f t="shared" si="9"/>
        <v>0.25</v>
      </c>
      <c r="E17" s="98">
        <f t="shared" si="9"/>
        <v>0.25</v>
      </c>
      <c r="F17" s="98">
        <f t="shared" si="9"/>
        <v>0.2525</v>
      </c>
      <c r="G17" s="98">
        <f t="shared" si="9"/>
        <v>0.2525</v>
      </c>
      <c r="H17" s="98">
        <f t="shared" si="9"/>
        <v>0.2525</v>
      </c>
      <c r="I17" s="101">
        <f t="shared" si="9"/>
        <v>0.2525</v>
      </c>
      <c r="J17" s="243"/>
      <c r="K17" s="105">
        <f>$B$9*((1+$B$10)^(YEAR(K41)-$B$6))</f>
        <v>1.0201</v>
      </c>
      <c r="L17" s="98">
        <f>$B$9*((1+$B$10)^(YEAR(L41)-$B$6))</f>
        <v>1.0303009999999999</v>
      </c>
      <c r="M17" s="98">
        <f>$B$9*((1+$B$10)^(YEAR(M41)-$B$6))</f>
        <v>1.04060401</v>
      </c>
      <c r="N17" s="101">
        <f>$B$9*((1+$B$10)^(YEAR(N41)-$B$6))</f>
        <v>1.0510100500999999</v>
      </c>
      <c r="O17" s="32"/>
      <c r="P17" s="217"/>
      <c r="Q17" s="27"/>
      <c r="R17" s="27"/>
      <c r="S17" s="27"/>
      <c r="T17" s="27"/>
      <c r="U17" s="27"/>
      <c r="V17" s="27"/>
      <c r="W17" s="27"/>
      <c r="X17" s="164"/>
    </row>
    <row r="18" spans="1:24" ht="15" thickBot="1" x14ac:dyDescent="0.35">
      <c r="A18" s="42" t="str">
        <f>$F$5</f>
        <v>Market 2</v>
      </c>
      <c r="B18" s="105">
        <f t="shared" ref="B18:I18" si="10">$F$9*((1+$F$10)^(YEAR(B41)-$F$6))/4</f>
        <v>0.25</v>
      </c>
      <c r="C18" s="98">
        <f t="shared" si="10"/>
        <v>0.25</v>
      </c>
      <c r="D18" s="98">
        <f t="shared" si="10"/>
        <v>0.25</v>
      </c>
      <c r="E18" s="98">
        <f t="shared" si="10"/>
        <v>0.25</v>
      </c>
      <c r="F18" s="98">
        <f t="shared" si="10"/>
        <v>0.2525</v>
      </c>
      <c r="G18" s="98">
        <f t="shared" si="10"/>
        <v>0.2525</v>
      </c>
      <c r="H18" s="98">
        <f t="shared" si="10"/>
        <v>0.2525</v>
      </c>
      <c r="I18" s="101">
        <f t="shared" si="10"/>
        <v>0.2525</v>
      </c>
      <c r="J18" s="243"/>
      <c r="K18" s="105">
        <f>$F$9*((1+$F$10)^(YEAR(K41)-$F$6))</f>
        <v>1.0201</v>
      </c>
      <c r="L18" s="98">
        <f>$F$9*((1+$F$10)^(YEAR(L41)-$F$6))</f>
        <v>1.0303009999999999</v>
      </c>
      <c r="M18" s="98">
        <f>$F$9*((1+$F$10)^(YEAR(M41)-$F$6))</f>
        <v>1.04060401</v>
      </c>
      <c r="N18" s="101">
        <f>$F$9*((1+$F$10)^(YEAR(N41)-$F$6))</f>
        <v>1.0510100500999999</v>
      </c>
      <c r="O18" s="32"/>
      <c r="P18" s="125"/>
      <c r="Q18" s="126"/>
      <c r="R18" s="126"/>
      <c r="S18" s="126"/>
      <c r="T18" s="126"/>
      <c r="U18" s="126"/>
      <c r="V18" s="126"/>
      <c r="W18" s="126"/>
      <c r="X18" s="127"/>
    </row>
    <row r="19" spans="1:24" ht="15.6" thickTop="1" thickBot="1" x14ac:dyDescent="0.35">
      <c r="A19" s="43" t="str">
        <f>$J$5</f>
        <v>Market 3</v>
      </c>
      <c r="B19" s="106">
        <f t="shared" ref="B19:I19" si="11">$J$9*((1+$J$10)^(YEAR(B41)-$J$6))/4</f>
        <v>0.25</v>
      </c>
      <c r="C19" s="99">
        <f t="shared" si="11"/>
        <v>0.25</v>
      </c>
      <c r="D19" s="99">
        <f t="shared" si="11"/>
        <v>0.25</v>
      </c>
      <c r="E19" s="99">
        <f t="shared" si="11"/>
        <v>0.25</v>
      </c>
      <c r="F19" s="99">
        <f t="shared" si="11"/>
        <v>0.2525</v>
      </c>
      <c r="G19" s="99">
        <f t="shared" si="11"/>
        <v>0.2525</v>
      </c>
      <c r="H19" s="99">
        <f t="shared" si="11"/>
        <v>0.2525</v>
      </c>
      <c r="I19" s="102">
        <f t="shared" si="11"/>
        <v>0.2525</v>
      </c>
      <c r="J19" s="243"/>
      <c r="K19" s="106">
        <f>$J$9*((1+$J$10)^(YEAR(K41)-$J$6))</f>
        <v>1.0201</v>
      </c>
      <c r="L19" s="99">
        <f>$J$9*((1+$J$10)^(YEAR(L41)-$J$6))</f>
        <v>1.0303009999999999</v>
      </c>
      <c r="M19" s="99">
        <f>$J$9*((1+$J$10)^(YEAR(M41)-$J$6))</f>
        <v>1.04060401</v>
      </c>
      <c r="N19" s="102">
        <f>$J$9*((1+$J$10)^(YEAR(N41)-$J$6))</f>
        <v>1.0510100500999999</v>
      </c>
      <c r="O19" s="32"/>
      <c r="P19" s="221"/>
      <c r="Q19" s="222"/>
      <c r="R19" s="222"/>
      <c r="S19" s="222"/>
      <c r="T19" s="222"/>
      <c r="U19" s="222"/>
      <c r="V19" s="222"/>
      <c r="W19" s="222"/>
      <c r="X19" s="216"/>
    </row>
    <row r="20" spans="1:24" ht="18" thickTop="1" x14ac:dyDescent="0.35">
      <c r="A20" s="27"/>
      <c r="B20" s="28"/>
      <c r="C20" s="34"/>
      <c r="D20" s="34"/>
      <c r="E20" s="34"/>
      <c r="F20" s="34"/>
      <c r="G20" s="34"/>
      <c r="H20" s="35"/>
      <c r="I20" s="35"/>
      <c r="J20" s="35"/>
      <c r="K20" s="35"/>
      <c r="L20" s="35"/>
      <c r="M20" s="35"/>
      <c r="N20" s="35"/>
      <c r="O20" s="32"/>
      <c r="P20" s="163"/>
      <c r="Q20" s="218" t="s">
        <v>211</v>
      </c>
      <c r="R20" s="27"/>
      <c r="S20" s="27"/>
      <c r="T20" s="27"/>
      <c r="U20" s="27"/>
      <c r="V20" s="27"/>
      <c r="W20" s="27"/>
      <c r="X20" s="164"/>
    </row>
    <row r="21" spans="1:24" ht="19.8" x14ac:dyDescent="0.4">
      <c r="A21" s="41" t="s">
        <v>250</v>
      </c>
      <c r="O21" s="32"/>
      <c r="P21" s="163"/>
      <c r="Q21" s="218"/>
      <c r="R21" s="27"/>
      <c r="S21" s="27"/>
      <c r="T21" s="27"/>
      <c r="U21" s="27"/>
      <c r="V21" s="27"/>
      <c r="W21" s="27"/>
      <c r="X21" s="164"/>
    </row>
    <row r="22" spans="1:24" ht="19.8" x14ac:dyDescent="0.4">
      <c r="A22" s="41"/>
      <c r="B22" s="343" t="s">
        <v>251</v>
      </c>
      <c r="C22" s="344"/>
      <c r="D22" s="344"/>
      <c r="E22" s="344"/>
      <c r="F22" s="344"/>
      <c r="G22" s="344"/>
      <c r="H22" s="344"/>
      <c r="I22" s="345"/>
      <c r="J22" s="243"/>
      <c r="K22" s="351" t="s">
        <v>252</v>
      </c>
      <c r="L22" s="352"/>
      <c r="M22" s="352"/>
      <c r="N22" s="353"/>
      <c r="O22" s="32"/>
      <c r="P22" s="163"/>
      <c r="Q22" s="27"/>
      <c r="R22" s="360" t="s">
        <v>212</v>
      </c>
      <c r="S22" s="361"/>
      <c r="T22" s="361"/>
      <c r="U22" s="361"/>
      <c r="V22" s="361"/>
      <c r="W22" s="362"/>
      <c r="X22" s="164"/>
    </row>
    <row r="23" spans="1:24" x14ac:dyDescent="0.3">
      <c r="A23" s="36"/>
      <c r="B23" s="346" t="s">
        <v>205</v>
      </c>
      <c r="C23" s="347"/>
      <c r="D23" s="347"/>
      <c r="E23" s="348"/>
      <c r="F23" s="349" t="s">
        <v>206</v>
      </c>
      <c r="G23" s="347"/>
      <c r="H23" s="347"/>
      <c r="I23" s="350"/>
      <c r="J23" s="243"/>
      <c r="K23" s="108" t="s">
        <v>145</v>
      </c>
      <c r="L23" s="109" t="s">
        <v>146</v>
      </c>
      <c r="M23" s="109" t="s">
        <v>147</v>
      </c>
      <c r="N23" s="110" t="s">
        <v>243</v>
      </c>
      <c r="O23" s="32"/>
      <c r="P23" s="163"/>
      <c r="Q23" s="27"/>
      <c r="R23" s="108" t="s">
        <v>205</v>
      </c>
      <c r="S23" s="109" t="s">
        <v>206</v>
      </c>
      <c r="T23" s="109" t="s">
        <v>145</v>
      </c>
      <c r="U23" s="109" t="s">
        <v>146</v>
      </c>
      <c r="V23" s="109" t="s">
        <v>147</v>
      </c>
      <c r="W23" s="110" t="s">
        <v>243</v>
      </c>
      <c r="X23" s="164"/>
    </row>
    <row r="24" spans="1:24" x14ac:dyDescent="0.3">
      <c r="A24" s="141"/>
      <c r="B24" s="139">
        <f>StartDate</f>
        <v>43921</v>
      </c>
      <c r="C24" s="71">
        <f>EDATE(B24,3)</f>
        <v>44012</v>
      </c>
      <c r="D24" s="71">
        <f t="shared" ref="D24" si="12">EDATE(C24,3)</f>
        <v>44104</v>
      </c>
      <c r="E24" s="71">
        <f t="shared" ref="E24" si="13">EDATE(D24,3)</f>
        <v>44195</v>
      </c>
      <c r="F24" s="71">
        <f t="shared" ref="F24" si="14">EDATE(E24,3)</f>
        <v>44285</v>
      </c>
      <c r="G24" s="71">
        <f t="shared" ref="G24" si="15">EDATE(F24,3)</f>
        <v>44377</v>
      </c>
      <c r="H24" s="71">
        <f t="shared" ref="H24" si="16">EDATE(G24,3)</f>
        <v>44469</v>
      </c>
      <c r="I24" s="71">
        <f t="shared" ref="I24" si="17">EDATE(H24,3)</f>
        <v>44560</v>
      </c>
      <c r="J24" s="243"/>
      <c r="K24" s="71">
        <f>EDATE(I24,3)</f>
        <v>44650</v>
      </c>
      <c r="L24" s="71">
        <f t="shared" ref="L24" si="18">EDATE(K24,12)</f>
        <v>45015</v>
      </c>
      <c r="M24" s="71">
        <f t="shared" ref="M24" si="19">EDATE(L24,12)</f>
        <v>45381</v>
      </c>
      <c r="N24" s="140">
        <f t="shared" ref="N24" si="20">EDATE(M24,12)</f>
        <v>45746</v>
      </c>
      <c r="O24" s="32"/>
      <c r="P24" s="163"/>
      <c r="Q24" s="27"/>
      <c r="R24" s="104">
        <f>B41</f>
        <v>43921</v>
      </c>
      <c r="S24" s="60">
        <f>F41</f>
        <v>44285</v>
      </c>
      <c r="T24" s="60">
        <f>K41</f>
        <v>44650</v>
      </c>
      <c r="U24" s="60">
        <f t="shared" ref="U24" si="21">EDATE(T24,12)</f>
        <v>45015</v>
      </c>
      <c r="V24" s="60">
        <f t="shared" ref="V24" si="22">EDATE(U24,12)</f>
        <v>45381</v>
      </c>
      <c r="W24" s="107">
        <f t="shared" ref="W24" si="23">EDATE(V24,12)</f>
        <v>45746</v>
      </c>
      <c r="X24" s="164"/>
    </row>
    <row r="25" spans="1:24" x14ac:dyDescent="0.3">
      <c r="A25" s="42" t="str">
        <f>$B$5</f>
        <v>Market 1</v>
      </c>
      <c r="B25" s="296">
        <v>0</v>
      </c>
      <c r="C25" s="297">
        <v>0</v>
      </c>
      <c r="D25" s="297">
        <v>0</v>
      </c>
      <c r="E25" s="297">
        <v>0</v>
      </c>
      <c r="F25" s="297">
        <v>0</v>
      </c>
      <c r="G25" s="297">
        <f>F25</f>
        <v>0</v>
      </c>
      <c r="H25" s="297">
        <f t="shared" ref="H25" si="24">G25</f>
        <v>0</v>
      </c>
      <c r="I25" s="298">
        <f t="shared" ref="I25" si="25">H25</f>
        <v>0</v>
      </c>
      <c r="J25" s="243"/>
      <c r="K25" s="296">
        <v>0</v>
      </c>
      <c r="L25" s="297">
        <f>K25</f>
        <v>0</v>
      </c>
      <c r="M25" s="297">
        <f t="shared" ref="M25:N25" si="26">L25</f>
        <v>0</v>
      </c>
      <c r="N25" s="298">
        <f t="shared" si="26"/>
        <v>0</v>
      </c>
      <c r="O25" s="32"/>
      <c r="P25" s="163"/>
      <c r="Q25" s="223" t="str">
        <f>A42</f>
        <v>Market 1</v>
      </c>
      <c r="R25" s="105">
        <f>SUM(B42:E42)</f>
        <v>0</v>
      </c>
      <c r="S25" s="98">
        <f>SUM(F42:I42)</f>
        <v>0</v>
      </c>
      <c r="T25" s="98">
        <f>K42</f>
        <v>0</v>
      </c>
      <c r="U25" s="98">
        <f t="shared" ref="U25:W27" si="27">L42</f>
        <v>0</v>
      </c>
      <c r="V25" s="98">
        <f t="shared" si="27"/>
        <v>0</v>
      </c>
      <c r="W25" s="101">
        <f t="shared" si="27"/>
        <v>0</v>
      </c>
      <c r="X25" s="164"/>
    </row>
    <row r="26" spans="1:24" x14ac:dyDescent="0.3">
      <c r="A26" s="42" t="str">
        <f>$F$5</f>
        <v>Market 2</v>
      </c>
      <c r="B26" s="296">
        <v>0</v>
      </c>
      <c r="C26" s="297">
        <v>0</v>
      </c>
      <c r="D26" s="297">
        <v>0</v>
      </c>
      <c r="E26" s="297">
        <v>0</v>
      </c>
      <c r="F26" s="297">
        <v>0</v>
      </c>
      <c r="G26" s="297">
        <v>0</v>
      </c>
      <c r="H26" s="297">
        <v>0</v>
      </c>
      <c r="I26" s="298">
        <v>0</v>
      </c>
      <c r="J26" s="243"/>
      <c r="K26" s="296">
        <v>0</v>
      </c>
      <c r="L26" s="297">
        <f>K26</f>
        <v>0</v>
      </c>
      <c r="M26" s="297">
        <f t="shared" ref="M26:N26" si="28">L26</f>
        <v>0</v>
      </c>
      <c r="N26" s="298">
        <f t="shared" si="28"/>
        <v>0</v>
      </c>
      <c r="O26" s="32"/>
      <c r="P26" s="163"/>
      <c r="Q26" s="223" t="str">
        <f>A43</f>
        <v>Market 2</v>
      </c>
      <c r="R26" s="105">
        <f>SUM(B43:E43)</f>
        <v>0</v>
      </c>
      <c r="S26" s="98">
        <f>SUM(F43:I43)</f>
        <v>0</v>
      </c>
      <c r="T26" s="98">
        <f>K43</f>
        <v>0</v>
      </c>
      <c r="U26" s="98">
        <f t="shared" si="27"/>
        <v>0</v>
      </c>
      <c r="V26" s="98">
        <f t="shared" si="27"/>
        <v>0</v>
      </c>
      <c r="W26" s="101">
        <f t="shared" si="27"/>
        <v>0</v>
      </c>
      <c r="X26" s="164"/>
    </row>
    <row r="27" spans="1:24" ht="15" thickBot="1" x14ac:dyDescent="0.35">
      <c r="A27" s="42" t="str">
        <f>$J$5</f>
        <v>Market 3</v>
      </c>
      <c r="B27" s="296">
        <v>0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297">
        <v>0</v>
      </c>
      <c r="I27" s="298">
        <v>0</v>
      </c>
      <c r="J27" s="243"/>
      <c r="K27" s="296">
        <v>0</v>
      </c>
      <c r="L27" s="297">
        <v>0</v>
      </c>
      <c r="M27" s="297">
        <v>0</v>
      </c>
      <c r="N27" s="298">
        <v>0</v>
      </c>
      <c r="O27" s="32"/>
      <c r="P27" s="163"/>
      <c r="Q27" s="223" t="str">
        <f>A44</f>
        <v>Market 3</v>
      </c>
      <c r="R27" s="106">
        <f>SUM(B44:E44)</f>
        <v>0</v>
      </c>
      <c r="S27" s="99">
        <f>SUM(F44:I44)</f>
        <v>0</v>
      </c>
      <c r="T27" s="99">
        <f>K44</f>
        <v>0</v>
      </c>
      <c r="U27" s="99">
        <f t="shared" si="27"/>
        <v>0</v>
      </c>
      <c r="V27" s="99">
        <f t="shared" si="27"/>
        <v>0</v>
      </c>
      <c r="W27" s="102">
        <f t="shared" si="27"/>
        <v>0</v>
      </c>
      <c r="X27" s="164"/>
    </row>
    <row r="28" spans="1:24" ht="15" thickTop="1" x14ac:dyDescent="0.3">
      <c r="A28" s="27"/>
      <c r="B28" s="28"/>
      <c r="C28" s="34"/>
      <c r="D28" s="34"/>
      <c r="E28" s="34"/>
      <c r="F28" s="34"/>
      <c r="G28" s="34"/>
      <c r="H28" s="35"/>
      <c r="I28" s="35"/>
      <c r="J28" s="35"/>
      <c r="K28" s="35"/>
      <c r="L28" s="35"/>
      <c r="M28" s="35"/>
      <c r="N28" s="35"/>
      <c r="O28" s="32"/>
      <c r="P28" s="163"/>
      <c r="Q28" s="27"/>
      <c r="R28" s="86">
        <f t="shared" ref="R28:W28" si="29">SUM(R25:R27)</f>
        <v>0</v>
      </c>
      <c r="S28" s="86">
        <f t="shared" si="29"/>
        <v>0</v>
      </c>
      <c r="T28" s="86">
        <f t="shared" si="29"/>
        <v>0</v>
      </c>
      <c r="U28" s="86">
        <f t="shared" si="29"/>
        <v>0</v>
      </c>
      <c r="V28" s="86">
        <f t="shared" si="29"/>
        <v>0</v>
      </c>
      <c r="W28" s="118">
        <f t="shared" si="29"/>
        <v>0</v>
      </c>
      <c r="X28" s="164"/>
    </row>
    <row r="29" spans="1:24" ht="19.8" x14ac:dyDescent="0.4">
      <c r="A29" s="41" t="s">
        <v>236</v>
      </c>
      <c r="P29" s="163"/>
      <c r="Q29" s="27"/>
      <c r="R29" s="27"/>
      <c r="S29" s="27"/>
      <c r="T29" s="27"/>
      <c r="U29" s="27"/>
      <c r="V29" s="27"/>
      <c r="W29" s="27"/>
      <c r="X29" s="164"/>
    </row>
    <row r="30" spans="1:24" ht="14.85" customHeight="1" x14ac:dyDescent="0.4">
      <c r="A30" s="41"/>
      <c r="B30" s="343" t="s">
        <v>153</v>
      </c>
      <c r="C30" s="344"/>
      <c r="D30" s="344"/>
      <c r="E30" s="344"/>
      <c r="F30" s="344"/>
      <c r="G30" s="344"/>
      <c r="H30" s="344"/>
      <c r="I30" s="345"/>
      <c r="J30" s="243"/>
      <c r="K30" s="351" t="s">
        <v>149</v>
      </c>
      <c r="L30" s="352"/>
      <c r="M30" s="352"/>
      <c r="N30" s="353"/>
      <c r="P30" s="163"/>
      <c r="Q30" s="27"/>
      <c r="R30" s="27"/>
      <c r="S30" s="27"/>
      <c r="T30" s="27"/>
      <c r="U30" s="27"/>
      <c r="V30" s="27"/>
      <c r="W30" s="27"/>
      <c r="X30" s="164"/>
    </row>
    <row r="31" spans="1:24" x14ac:dyDescent="0.3">
      <c r="A31" s="36"/>
      <c r="B31" s="346" t="s">
        <v>205</v>
      </c>
      <c r="C31" s="347"/>
      <c r="D31" s="347"/>
      <c r="E31" s="348"/>
      <c r="F31" s="349" t="s">
        <v>206</v>
      </c>
      <c r="G31" s="347"/>
      <c r="H31" s="347"/>
      <c r="I31" s="350"/>
      <c r="J31" s="243"/>
      <c r="K31" s="108" t="s">
        <v>145</v>
      </c>
      <c r="L31" s="109" t="s">
        <v>146</v>
      </c>
      <c r="M31" s="109" t="s">
        <v>147</v>
      </c>
      <c r="N31" s="110" t="s">
        <v>243</v>
      </c>
      <c r="P31" s="163"/>
      <c r="Q31" s="27"/>
      <c r="R31" s="27"/>
      <c r="S31" s="27"/>
      <c r="T31" s="27"/>
      <c r="U31" s="27"/>
      <c r="V31" s="27"/>
      <c r="W31" s="27"/>
      <c r="X31" s="164"/>
    </row>
    <row r="32" spans="1:24" x14ac:dyDescent="0.3">
      <c r="A32" s="141"/>
      <c r="B32" s="139">
        <f>StartDate</f>
        <v>43921</v>
      </c>
      <c r="C32" s="71">
        <f>EDATE(B32,3)</f>
        <v>44012</v>
      </c>
      <c r="D32" s="71">
        <f t="shared" ref="D32:I32" si="30">EDATE(C32,3)</f>
        <v>44104</v>
      </c>
      <c r="E32" s="71">
        <f t="shared" si="30"/>
        <v>44195</v>
      </c>
      <c r="F32" s="71">
        <f t="shared" si="30"/>
        <v>44285</v>
      </c>
      <c r="G32" s="71">
        <f t="shared" si="30"/>
        <v>44377</v>
      </c>
      <c r="H32" s="71">
        <f t="shared" si="30"/>
        <v>44469</v>
      </c>
      <c r="I32" s="71">
        <f t="shared" si="30"/>
        <v>44560</v>
      </c>
      <c r="J32" s="243"/>
      <c r="K32" s="71">
        <f>EDATE(I32,3)</f>
        <v>44650</v>
      </c>
      <c r="L32" s="71">
        <f t="shared" ref="L32:N32" si="31">EDATE(K32,12)</f>
        <v>45015</v>
      </c>
      <c r="M32" s="71">
        <f t="shared" si="31"/>
        <v>45381</v>
      </c>
      <c r="N32" s="140">
        <f t="shared" si="31"/>
        <v>45746</v>
      </c>
      <c r="P32" s="163"/>
      <c r="Q32" s="27"/>
      <c r="R32" s="27"/>
      <c r="S32" s="27"/>
      <c r="T32" s="27"/>
      <c r="U32" s="27"/>
      <c r="V32" s="27"/>
      <c r="W32" s="27"/>
      <c r="X32" s="164"/>
    </row>
    <row r="33" spans="1:24" x14ac:dyDescent="0.3">
      <c r="A33" s="42" t="str">
        <f>$B$5</f>
        <v>Market 1</v>
      </c>
      <c r="B33" s="296">
        <v>0</v>
      </c>
      <c r="C33" s="297">
        <v>0</v>
      </c>
      <c r="D33" s="297">
        <v>0</v>
      </c>
      <c r="E33" s="297">
        <v>0</v>
      </c>
      <c r="F33" s="297">
        <v>0</v>
      </c>
      <c r="G33" s="297">
        <f>F33</f>
        <v>0</v>
      </c>
      <c r="H33" s="297">
        <f t="shared" ref="H33:I33" si="32">G33</f>
        <v>0</v>
      </c>
      <c r="I33" s="298">
        <f t="shared" si="32"/>
        <v>0</v>
      </c>
      <c r="J33" s="243"/>
      <c r="K33" s="296">
        <v>0</v>
      </c>
      <c r="L33" s="299">
        <f>K33*(1+0.05)</f>
        <v>0</v>
      </c>
      <c r="M33" s="299">
        <f t="shared" ref="M33:N33" si="33">L33*(1+0.05)</f>
        <v>0</v>
      </c>
      <c r="N33" s="300">
        <f t="shared" si="33"/>
        <v>0</v>
      </c>
      <c r="O33" s="250"/>
      <c r="P33" s="163"/>
      <c r="Q33" s="27"/>
      <c r="R33" s="27"/>
      <c r="S33" s="27"/>
      <c r="T33" s="27"/>
      <c r="U33" s="27"/>
      <c r="V33" s="27"/>
      <c r="W33" s="27"/>
      <c r="X33" s="164"/>
    </row>
    <row r="34" spans="1:24" x14ac:dyDescent="0.3">
      <c r="A34" s="42" t="str">
        <f>$F$5</f>
        <v>Market 2</v>
      </c>
      <c r="B34" s="296">
        <v>0</v>
      </c>
      <c r="C34" s="297">
        <v>0</v>
      </c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8">
        <v>0</v>
      </c>
      <c r="J34" s="243"/>
      <c r="K34" s="296">
        <v>0</v>
      </c>
      <c r="L34" s="299">
        <f>K34*(1+0.15)</f>
        <v>0</v>
      </c>
      <c r="M34" s="299">
        <f t="shared" ref="M34:N35" si="34">L34*(1+0.15)</f>
        <v>0</v>
      </c>
      <c r="N34" s="300">
        <f t="shared" si="34"/>
        <v>0</v>
      </c>
      <c r="O34" s="250"/>
      <c r="P34" s="163"/>
      <c r="Q34" s="27"/>
      <c r="R34" s="27"/>
      <c r="S34" s="27"/>
      <c r="T34" s="27"/>
      <c r="U34" s="27"/>
      <c r="V34" s="27"/>
      <c r="W34" s="27"/>
      <c r="X34" s="164"/>
    </row>
    <row r="35" spans="1:24" x14ac:dyDescent="0.3">
      <c r="A35" s="42" t="str">
        <f>$J$5</f>
        <v>Market 3</v>
      </c>
      <c r="B35" s="296">
        <v>0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8">
        <v>0</v>
      </c>
      <c r="J35" s="243"/>
      <c r="K35" s="296">
        <v>0</v>
      </c>
      <c r="L35" s="299">
        <f>K35*(1+0.15)</f>
        <v>0</v>
      </c>
      <c r="M35" s="299">
        <f t="shared" si="34"/>
        <v>0</v>
      </c>
      <c r="N35" s="300">
        <f t="shared" si="34"/>
        <v>0</v>
      </c>
      <c r="P35" s="163"/>
      <c r="Q35" s="27"/>
      <c r="R35" s="27"/>
      <c r="S35" s="27"/>
      <c r="T35" s="27"/>
      <c r="U35" s="27"/>
      <c r="V35" s="27"/>
      <c r="W35" s="27"/>
      <c r="X35" s="164"/>
    </row>
    <row r="36" spans="1:24" x14ac:dyDescent="0.3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163"/>
      <c r="Q36" s="27"/>
      <c r="R36" s="27"/>
      <c r="S36" s="27"/>
      <c r="T36" s="27"/>
      <c r="U36" s="27"/>
      <c r="V36" s="27"/>
      <c r="W36" s="27"/>
      <c r="X36" s="164"/>
    </row>
    <row r="37" spans="1:24" ht="17.55" customHeight="1" x14ac:dyDescent="0.3">
      <c r="P37" s="163"/>
      <c r="Q37" s="27"/>
      <c r="R37" s="27"/>
      <c r="S37" s="27"/>
      <c r="T37" s="27"/>
      <c r="U37" s="27"/>
      <c r="V37" s="27"/>
      <c r="W37" s="27"/>
      <c r="X37" s="164"/>
    </row>
    <row r="38" spans="1:24" ht="20.100000000000001" customHeight="1" x14ac:dyDescent="0.4">
      <c r="A38" s="41" t="s">
        <v>24</v>
      </c>
      <c r="P38" s="163"/>
      <c r="Q38" s="27"/>
      <c r="R38" s="27"/>
      <c r="S38" s="27"/>
      <c r="T38" s="27"/>
      <c r="U38" s="27"/>
      <c r="V38" s="27"/>
      <c r="W38" s="27"/>
      <c r="X38" s="164"/>
    </row>
    <row r="39" spans="1:24" ht="14.85" customHeight="1" x14ac:dyDescent="0.4">
      <c r="A39" s="41"/>
      <c r="B39" s="343" t="s">
        <v>154</v>
      </c>
      <c r="C39" s="344"/>
      <c r="D39" s="344"/>
      <c r="E39" s="344"/>
      <c r="F39" s="344"/>
      <c r="G39" s="344"/>
      <c r="H39" s="344"/>
      <c r="I39" s="345"/>
      <c r="J39" s="243"/>
      <c r="K39" s="351" t="s">
        <v>148</v>
      </c>
      <c r="L39" s="352"/>
      <c r="M39" s="352"/>
      <c r="N39" s="353"/>
      <c r="P39" s="163"/>
      <c r="Q39" s="27"/>
      <c r="R39" s="27"/>
      <c r="S39" s="27"/>
      <c r="T39" s="27"/>
      <c r="U39" s="27"/>
      <c r="V39" s="27"/>
      <c r="W39" s="27"/>
      <c r="X39" s="164"/>
    </row>
    <row r="40" spans="1:24" x14ac:dyDescent="0.3">
      <c r="A40" s="36"/>
      <c r="B40" s="346" t="s">
        <v>205</v>
      </c>
      <c r="C40" s="347"/>
      <c r="D40" s="347"/>
      <c r="E40" s="348"/>
      <c r="F40" s="349" t="s">
        <v>206</v>
      </c>
      <c r="G40" s="347"/>
      <c r="H40" s="347"/>
      <c r="I40" s="350"/>
      <c r="J40" s="243"/>
      <c r="K40" s="108" t="s">
        <v>145</v>
      </c>
      <c r="L40" s="109" t="s">
        <v>146</v>
      </c>
      <c r="M40" s="109" t="s">
        <v>147</v>
      </c>
      <c r="N40" s="110" t="s">
        <v>243</v>
      </c>
      <c r="P40" s="163"/>
      <c r="Q40" s="27"/>
      <c r="R40" s="27"/>
      <c r="S40" s="27"/>
      <c r="T40" s="27"/>
      <c r="U40" s="27"/>
      <c r="V40" s="27"/>
      <c r="W40" s="27"/>
      <c r="X40" s="164"/>
    </row>
    <row r="41" spans="1:24" x14ac:dyDescent="0.3">
      <c r="A41" s="59"/>
      <c r="B41" s="104">
        <f>StartDate</f>
        <v>43921</v>
      </c>
      <c r="C41" s="60">
        <f>EDATE(B41,3)</f>
        <v>44012</v>
      </c>
      <c r="D41" s="60">
        <f t="shared" ref="D41:I41" si="35">EDATE(C41,3)</f>
        <v>44104</v>
      </c>
      <c r="E41" s="60">
        <f t="shared" si="35"/>
        <v>44195</v>
      </c>
      <c r="F41" s="60">
        <f t="shared" si="35"/>
        <v>44285</v>
      </c>
      <c r="G41" s="60">
        <f t="shared" si="35"/>
        <v>44377</v>
      </c>
      <c r="H41" s="60">
        <f t="shared" si="35"/>
        <v>44469</v>
      </c>
      <c r="I41" s="60">
        <f t="shared" si="35"/>
        <v>44560</v>
      </c>
      <c r="J41" s="243"/>
      <c r="K41" s="60">
        <f>EDATE(I41,3)</f>
        <v>44650</v>
      </c>
      <c r="L41" s="60">
        <f t="shared" ref="L41:N41" si="36">EDATE(K41,12)</f>
        <v>45015</v>
      </c>
      <c r="M41" s="60">
        <f t="shared" si="36"/>
        <v>45381</v>
      </c>
      <c r="N41" s="107">
        <f t="shared" si="36"/>
        <v>45746</v>
      </c>
      <c r="P41" s="163"/>
      <c r="Q41" s="27"/>
      <c r="R41" s="27"/>
      <c r="S41" s="27"/>
      <c r="T41" s="27"/>
      <c r="U41" s="27"/>
      <c r="V41" s="27"/>
      <c r="W41" s="27"/>
      <c r="X41" s="164"/>
    </row>
    <row r="42" spans="1:24" x14ac:dyDescent="0.3">
      <c r="A42" s="42" t="str">
        <f>$B$5</f>
        <v>Market 1</v>
      </c>
      <c r="B42" s="105">
        <f>B17*(1-B25)*B33</f>
        <v>0</v>
      </c>
      <c r="C42" s="98">
        <f t="shared" ref="C42:N42" si="37">C17*(1-C25)*C33</f>
        <v>0</v>
      </c>
      <c r="D42" s="98">
        <f t="shared" si="37"/>
        <v>0</v>
      </c>
      <c r="E42" s="98">
        <f t="shared" si="37"/>
        <v>0</v>
      </c>
      <c r="F42" s="98">
        <f t="shared" si="37"/>
        <v>0</v>
      </c>
      <c r="G42" s="98">
        <f t="shared" si="37"/>
        <v>0</v>
      </c>
      <c r="H42" s="98">
        <f t="shared" si="37"/>
        <v>0</v>
      </c>
      <c r="I42" s="101">
        <f t="shared" si="37"/>
        <v>0</v>
      </c>
      <c r="J42" s="243"/>
      <c r="K42" s="105">
        <f t="shared" si="37"/>
        <v>0</v>
      </c>
      <c r="L42" s="98">
        <f t="shared" si="37"/>
        <v>0</v>
      </c>
      <c r="M42" s="98">
        <f t="shared" si="37"/>
        <v>0</v>
      </c>
      <c r="N42" s="101">
        <f t="shared" si="37"/>
        <v>0</v>
      </c>
      <c r="P42" s="163"/>
      <c r="Q42" s="27"/>
      <c r="R42" s="27"/>
      <c r="S42" s="27"/>
      <c r="T42" s="27"/>
      <c r="U42" s="27"/>
      <c r="V42" s="27"/>
      <c r="W42" s="27"/>
      <c r="X42" s="164"/>
    </row>
    <row r="43" spans="1:24" x14ac:dyDescent="0.3">
      <c r="A43" s="42" t="str">
        <f>$F$5</f>
        <v>Market 2</v>
      </c>
      <c r="B43" s="105">
        <f t="shared" ref="B43:N44" si="38">B18*(1-B26)*B34</f>
        <v>0</v>
      </c>
      <c r="C43" s="98">
        <f t="shared" si="38"/>
        <v>0</v>
      </c>
      <c r="D43" s="98">
        <f t="shared" si="38"/>
        <v>0</v>
      </c>
      <c r="E43" s="98">
        <f t="shared" si="38"/>
        <v>0</v>
      </c>
      <c r="F43" s="98">
        <f t="shared" si="38"/>
        <v>0</v>
      </c>
      <c r="G43" s="98">
        <f t="shared" si="38"/>
        <v>0</v>
      </c>
      <c r="H43" s="98">
        <f t="shared" si="38"/>
        <v>0</v>
      </c>
      <c r="I43" s="101">
        <f t="shared" si="38"/>
        <v>0</v>
      </c>
      <c r="J43" s="243"/>
      <c r="K43" s="105">
        <f t="shared" si="38"/>
        <v>0</v>
      </c>
      <c r="L43" s="98">
        <f t="shared" si="38"/>
        <v>0</v>
      </c>
      <c r="M43" s="98">
        <f t="shared" si="38"/>
        <v>0</v>
      </c>
      <c r="N43" s="101">
        <f t="shared" si="38"/>
        <v>0</v>
      </c>
      <c r="P43" s="163"/>
      <c r="Q43" s="27"/>
      <c r="R43" s="27"/>
      <c r="S43" s="27"/>
      <c r="T43" s="27"/>
      <c r="U43" s="27"/>
      <c r="V43" s="27"/>
      <c r="W43" s="27"/>
      <c r="X43" s="164"/>
    </row>
    <row r="44" spans="1:24" ht="15.75" customHeight="1" thickBot="1" x14ac:dyDescent="0.35">
      <c r="A44" s="43" t="str">
        <f>$J$5</f>
        <v>Market 3</v>
      </c>
      <c r="B44" s="106">
        <f t="shared" si="38"/>
        <v>0</v>
      </c>
      <c r="C44" s="99">
        <f t="shared" si="38"/>
        <v>0</v>
      </c>
      <c r="D44" s="99">
        <f t="shared" si="38"/>
        <v>0</v>
      </c>
      <c r="E44" s="99">
        <f t="shared" si="38"/>
        <v>0</v>
      </c>
      <c r="F44" s="99">
        <f t="shared" si="38"/>
        <v>0</v>
      </c>
      <c r="G44" s="99">
        <f t="shared" si="38"/>
        <v>0</v>
      </c>
      <c r="H44" s="99">
        <f t="shared" si="38"/>
        <v>0</v>
      </c>
      <c r="I44" s="102">
        <f t="shared" si="38"/>
        <v>0</v>
      </c>
      <c r="J44" s="243"/>
      <c r="K44" s="106">
        <f t="shared" si="38"/>
        <v>0</v>
      </c>
      <c r="L44" s="99">
        <f t="shared" si="38"/>
        <v>0</v>
      </c>
      <c r="M44" s="99">
        <f t="shared" si="38"/>
        <v>0</v>
      </c>
      <c r="N44" s="102">
        <f t="shared" si="38"/>
        <v>0</v>
      </c>
      <c r="P44" s="163"/>
      <c r="Q44" s="27"/>
      <c r="R44" s="27"/>
      <c r="S44" s="27"/>
      <c r="T44" s="27"/>
      <c r="U44" s="27"/>
      <c r="V44" s="27"/>
      <c r="W44" s="27"/>
      <c r="X44" s="164"/>
    </row>
    <row r="45" spans="1:24" ht="15.75" customHeight="1" thickTop="1" x14ac:dyDescent="0.3">
      <c r="A45" s="44" t="s">
        <v>13</v>
      </c>
      <c r="B45" s="117">
        <f>SUM(B42:B44)</f>
        <v>0</v>
      </c>
      <c r="C45" s="86">
        <f t="shared" ref="C45:N45" si="39">SUM(C42:C44)</f>
        <v>0</v>
      </c>
      <c r="D45" s="86">
        <f t="shared" si="39"/>
        <v>0</v>
      </c>
      <c r="E45" s="86">
        <f t="shared" si="39"/>
        <v>0</v>
      </c>
      <c r="F45" s="86">
        <f t="shared" si="39"/>
        <v>0</v>
      </c>
      <c r="G45" s="86">
        <f t="shared" si="39"/>
        <v>0</v>
      </c>
      <c r="H45" s="86">
        <f t="shared" si="39"/>
        <v>0</v>
      </c>
      <c r="I45" s="118">
        <f t="shared" si="39"/>
        <v>0</v>
      </c>
      <c r="J45" s="243"/>
      <c r="K45" s="117">
        <f t="shared" si="39"/>
        <v>0</v>
      </c>
      <c r="L45" s="86">
        <f t="shared" si="39"/>
        <v>0</v>
      </c>
      <c r="M45" s="86">
        <f t="shared" si="39"/>
        <v>0</v>
      </c>
      <c r="N45" s="118">
        <f t="shared" si="39"/>
        <v>0</v>
      </c>
      <c r="P45" s="163"/>
      <c r="Q45" s="27"/>
      <c r="R45" s="27"/>
      <c r="S45" s="27"/>
      <c r="T45" s="27"/>
      <c r="U45" s="27"/>
      <c r="V45" s="27"/>
      <c r="W45" s="27"/>
      <c r="X45" s="164"/>
    </row>
    <row r="46" spans="1:24" ht="15" customHeight="1" thickBot="1" x14ac:dyDescent="0.35">
      <c r="I46" s="234"/>
      <c r="J46" s="234"/>
      <c r="P46" s="125"/>
      <c r="Q46" s="126"/>
      <c r="R46" s="126"/>
      <c r="S46" s="126"/>
      <c r="T46" s="126"/>
      <c r="U46" s="126"/>
      <c r="V46" s="126"/>
      <c r="W46" s="126"/>
      <c r="X46" s="127"/>
    </row>
    <row r="47" spans="1:24" ht="15" customHeight="1" thickTop="1" x14ac:dyDescent="0.3"/>
    <row r="48" spans="1:24" ht="15" customHeight="1" x14ac:dyDescent="0.3">
      <c r="H48" s="213"/>
      <c r="I48" s="213"/>
      <c r="J48" s="213"/>
      <c r="K48" s="213"/>
      <c r="L48" s="213"/>
      <c r="M48" s="213"/>
      <c r="N48" s="213"/>
    </row>
    <row r="49" spans="8:14" ht="15" customHeight="1" x14ac:dyDescent="0.3">
      <c r="H49" s="213"/>
      <c r="I49" s="213"/>
      <c r="J49" s="213"/>
      <c r="K49" s="213"/>
      <c r="L49" s="213"/>
      <c r="M49" s="213"/>
      <c r="N49" s="213"/>
    </row>
    <row r="50" spans="8:14" x14ac:dyDescent="0.3">
      <c r="H50" s="213"/>
      <c r="I50" s="213"/>
      <c r="J50" s="213"/>
      <c r="K50" s="213"/>
      <c r="L50" s="213"/>
      <c r="M50" s="213"/>
      <c r="N50" s="213"/>
    </row>
    <row r="51" spans="8:14" x14ac:dyDescent="0.3">
      <c r="H51" s="213"/>
      <c r="I51" s="213"/>
      <c r="J51" s="213"/>
      <c r="K51" s="213"/>
      <c r="L51" s="213"/>
      <c r="M51" s="213"/>
      <c r="N51" s="213"/>
    </row>
    <row r="52" spans="8:14" x14ac:dyDescent="0.3">
      <c r="H52" s="213"/>
      <c r="I52" s="213"/>
      <c r="J52" s="213"/>
      <c r="K52" s="213"/>
      <c r="L52" s="213"/>
      <c r="M52" s="213"/>
      <c r="N52" s="213"/>
    </row>
    <row r="53" spans="8:14" x14ac:dyDescent="0.3">
      <c r="H53" s="213"/>
      <c r="I53" s="213"/>
      <c r="J53" s="213"/>
      <c r="K53" s="213"/>
      <c r="L53" s="213"/>
      <c r="M53" s="213"/>
      <c r="N53" s="213"/>
    </row>
    <row r="54" spans="8:14" x14ac:dyDescent="0.3">
      <c r="K54" s="213"/>
      <c r="L54" s="213"/>
      <c r="M54" s="213"/>
      <c r="N54" s="213"/>
    </row>
    <row r="55" spans="8:14" x14ac:dyDescent="0.3">
      <c r="K55" s="213"/>
      <c r="L55" s="213"/>
      <c r="M55" s="213"/>
      <c r="N55" s="213"/>
    </row>
    <row r="56" spans="8:14" x14ac:dyDescent="0.3">
      <c r="K56" s="213"/>
      <c r="L56" s="213"/>
      <c r="M56" s="213"/>
      <c r="N56" s="213"/>
    </row>
  </sheetData>
  <mergeCells count="34">
    <mergeCell ref="B23:E23"/>
    <mergeCell ref="F23:I23"/>
    <mergeCell ref="R22:W22"/>
    <mergeCell ref="K5:M5"/>
    <mergeCell ref="K6:M6"/>
    <mergeCell ref="K7:M7"/>
    <mergeCell ref="K9:M9"/>
    <mergeCell ref="K10:M10"/>
    <mergeCell ref="B14:I14"/>
    <mergeCell ref="K14:N14"/>
    <mergeCell ref="B15:E15"/>
    <mergeCell ref="F15:I15"/>
    <mergeCell ref="B22:I22"/>
    <mergeCell ref="K22:N22"/>
    <mergeCell ref="G10:I10"/>
    <mergeCell ref="G9:I9"/>
    <mergeCell ref="G7:I7"/>
    <mergeCell ref="G8:I8"/>
    <mergeCell ref="G5:I5"/>
    <mergeCell ref="C5:E5"/>
    <mergeCell ref="G6:I6"/>
    <mergeCell ref="C10:E10"/>
    <mergeCell ref="C8:E8"/>
    <mergeCell ref="C7:E7"/>
    <mergeCell ref="C9:E9"/>
    <mergeCell ref="C6:E6"/>
    <mergeCell ref="B39:I39"/>
    <mergeCell ref="B40:E40"/>
    <mergeCell ref="F40:I40"/>
    <mergeCell ref="K39:N39"/>
    <mergeCell ref="B30:I30"/>
    <mergeCell ref="K30:N30"/>
    <mergeCell ref="B31:E31"/>
    <mergeCell ref="F31:I3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A1:X48"/>
  <sheetViews>
    <sheetView topLeftCell="A4" workbookViewId="0">
      <selection activeCell="B24" sqref="B24"/>
    </sheetView>
  </sheetViews>
  <sheetFormatPr defaultRowHeight="14.4" x14ac:dyDescent="0.3"/>
  <cols>
    <col min="1" max="1" width="22.44140625" customWidth="1"/>
    <col min="2" max="2" width="13.44140625" customWidth="1"/>
    <col min="3" max="9" width="11.77734375" customWidth="1"/>
    <col min="10" max="10" width="10.21875" customWidth="1"/>
    <col min="11" max="14" width="11.77734375" customWidth="1"/>
    <col min="15" max="15" width="10" customWidth="1"/>
    <col min="16" max="16" width="3.77734375" customWidth="1"/>
    <col min="17" max="23" width="14.44140625" customWidth="1"/>
    <col min="24" max="24" width="3.77734375" customWidth="1"/>
  </cols>
  <sheetData>
    <row r="1" spans="1:24" ht="24.6" thickTop="1" thickBot="1" x14ac:dyDescent="0.5">
      <c r="A1" s="38" t="s">
        <v>23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224" t="str">
        <f>CompanyName &amp;" Revenue Forecast"</f>
        <v>WorkHorse Revenue Forecast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"Revenues ("&amp;SubHeader&amp;")"</f>
        <v>Revenues (USD)</v>
      </c>
      <c r="B2" s="97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ht="19.8" x14ac:dyDescent="0.4">
      <c r="A4" s="37" t="s">
        <v>20</v>
      </c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s="47" customFormat="1" ht="15.6" x14ac:dyDescent="0.3">
      <c r="A5" s="45"/>
      <c r="B5" s="112" t="s">
        <v>285</v>
      </c>
      <c r="C5" s="358" t="s">
        <v>18</v>
      </c>
      <c r="D5" s="358"/>
      <c r="E5" s="359"/>
      <c r="F5" s="113" t="s">
        <v>286</v>
      </c>
      <c r="G5" s="358" t="s">
        <v>18</v>
      </c>
      <c r="H5" s="358"/>
      <c r="I5" s="359"/>
      <c r="J5" s="113" t="s">
        <v>21</v>
      </c>
      <c r="K5" s="358" t="s">
        <v>18</v>
      </c>
      <c r="L5" s="358"/>
      <c r="M5" s="359"/>
      <c r="O5" s="46"/>
      <c r="P5" s="219"/>
      <c r="Q5" s="45"/>
      <c r="R5" s="45"/>
      <c r="S5" s="45"/>
      <c r="T5" s="45"/>
      <c r="U5" s="45"/>
      <c r="V5" s="45"/>
      <c r="W5" s="45"/>
      <c r="X5" s="220"/>
    </row>
    <row r="6" spans="1:24" x14ac:dyDescent="0.3">
      <c r="A6" s="48" t="s">
        <v>245</v>
      </c>
      <c r="B6" s="301">
        <v>1</v>
      </c>
      <c r="C6" s="363"/>
      <c r="D6" s="363"/>
      <c r="E6" s="364"/>
      <c r="F6" s="285">
        <v>1</v>
      </c>
      <c r="G6" s="363"/>
      <c r="H6" s="363"/>
      <c r="I6" s="364"/>
      <c r="J6" s="285"/>
      <c r="K6" s="363"/>
      <c r="L6" s="363"/>
      <c r="M6" s="364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x14ac:dyDescent="0.3">
      <c r="A7" s="49" t="s">
        <v>244</v>
      </c>
      <c r="B7" s="302">
        <v>0.01</v>
      </c>
      <c r="C7" s="356"/>
      <c r="D7" s="356"/>
      <c r="E7" s="357"/>
      <c r="F7" s="302">
        <v>0.01</v>
      </c>
      <c r="G7" s="356"/>
      <c r="H7" s="356"/>
      <c r="I7" s="357"/>
      <c r="J7" s="302"/>
      <c r="K7" s="356"/>
      <c r="L7" s="356"/>
      <c r="M7" s="357"/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ht="15" customHeight="1" x14ac:dyDescent="0.3">
      <c r="A8" s="50" t="s">
        <v>207</v>
      </c>
      <c r="B8" s="303">
        <v>0.01</v>
      </c>
      <c r="C8" s="354"/>
      <c r="D8" s="354"/>
      <c r="E8" s="355"/>
      <c r="F8" s="303">
        <v>0.01</v>
      </c>
      <c r="G8" s="354"/>
      <c r="H8" s="354"/>
      <c r="I8" s="355"/>
      <c r="J8" s="303"/>
      <c r="K8" s="354"/>
      <c r="L8" s="354"/>
      <c r="M8" s="355"/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5" customHeight="1" thickBot="1" x14ac:dyDescent="0.35">
      <c r="A9" s="247" t="s">
        <v>246</v>
      </c>
      <c r="B9" s="304">
        <f>B6*(1-B7)*(1-B8)</f>
        <v>0.98009999999999997</v>
      </c>
      <c r="C9" s="248"/>
      <c r="D9" s="248"/>
      <c r="E9" s="248"/>
      <c r="F9" s="304">
        <f>F6*(1-F7)*(1-F8)</f>
        <v>0.98009999999999997</v>
      </c>
      <c r="G9" s="248"/>
      <c r="H9" s="248"/>
      <c r="I9" s="248"/>
      <c r="J9" s="304" t="s">
        <v>224</v>
      </c>
      <c r="K9" s="248"/>
      <c r="L9" s="248"/>
      <c r="M9" s="248"/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ht="15" thickTop="1" x14ac:dyDescent="0.3">
      <c r="B10" t="s">
        <v>224</v>
      </c>
      <c r="C10" t="s">
        <v>224</v>
      </c>
      <c r="F10" t="s">
        <v>224</v>
      </c>
      <c r="G10" t="s">
        <v>224</v>
      </c>
      <c r="P10" s="217"/>
      <c r="Q10" s="27"/>
      <c r="R10" s="27"/>
      <c r="S10" s="27"/>
      <c r="T10" s="27"/>
      <c r="U10" s="27"/>
      <c r="V10" s="27"/>
      <c r="W10" s="27"/>
      <c r="X10" s="164"/>
    </row>
    <row r="11" spans="1:24" ht="19.8" x14ac:dyDescent="0.4">
      <c r="A11" s="41" t="s">
        <v>150</v>
      </c>
      <c r="H11" s="234" t="s">
        <v>224</v>
      </c>
      <c r="P11" s="217"/>
      <c r="Q11" s="27"/>
      <c r="R11" s="27"/>
      <c r="S11" s="27"/>
      <c r="T11" s="27"/>
      <c r="U11" s="27"/>
      <c r="V11" s="27"/>
      <c r="W11" s="27"/>
      <c r="X11" s="164"/>
    </row>
    <row r="12" spans="1:24" ht="14.85" customHeight="1" x14ac:dyDescent="0.4">
      <c r="A12" s="41"/>
      <c r="B12" s="343" t="s">
        <v>152</v>
      </c>
      <c r="C12" s="344"/>
      <c r="D12" s="344"/>
      <c r="E12" s="344"/>
      <c r="F12" s="344"/>
      <c r="G12" s="344"/>
      <c r="H12" s="344"/>
      <c r="I12" s="345"/>
      <c r="J12" s="243"/>
      <c r="K12" s="351" t="s">
        <v>151</v>
      </c>
      <c r="L12" s="352"/>
      <c r="M12" s="352"/>
      <c r="N12" s="353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x14ac:dyDescent="0.3">
      <c r="A13" s="36"/>
      <c r="B13" s="346" t="s">
        <v>205</v>
      </c>
      <c r="C13" s="347"/>
      <c r="D13" s="347"/>
      <c r="E13" s="348"/>
      <c r="F13" s="349" t="s">
        <v>206</v>
      </c>
      <c r="G13" s="347"/>
      <c r="H13" s="347"/>
      <c r="I13" s="350"/>
      <c r="J13" s="243"/>
      <c r="K13" s="108" t="s">
        <v>145</v>
      </c>
      <c r="L13" s="109" t="s">
        <v>146</v>
      </c>
      <c r="M13" s="109" t="s">
        <v>147</v>
      </c>
      <c r="N13" s="110" t="s">
        <v>243</v>
      </c>
      <c r="P13" s="163"/>
      <c r="Q13" s="27"/>
      <c r="R13" s="27"/>
      <c r="S13" s="27"/>
      <c r="T13" s="27"/>
      <c r="U13" s="27"/>
      <c r="V13" s="27"/>
      <c r="W13" s="27"/>
      <c r="X13" s="164"/>
    </row>
    <row r="14" spans="1:24" x14ac:dyDescent="0.3">
      <c r="A14" s="70"/>
      <c r="B14" s="139">
        <f>StartDate</f>
        <v>43921</v>
      </c>
      <c r="C14" s="71">
        <f>EDATE(B14,3)</f>
        <v>44012</v>
      </c>
      <c r="D14" s="71">
        <f t="shared" ref="D14:I14" si="0">EDATE(C14,3)</f>
        <v>44104</v>
      </c>
      <c r="E14" s="71">
        <f t="shared" si="0"/>
        <v>44195</v>
      </c>
      <c r="F14" s="71">
        <f t="shared" si="0"/>
        <v>44285</v>
      </c>
      <c r="G14" s="71">
        <f t="shared" si="0"/>
        <v>44377</v>
      </c>
      <c r="H14" s="71">
        <f t="shared" si="0"/>
        <v>44469</v>
      </c>
      <c r="I14" s="142">
        <f t="shared" si="0"/>
        <v>44560</v>
      </c>
      <c r="J14" s="243"/>
      <c r="K14" s="139">
        <f>EDATE(I14,3)</f>
        <v>44650</v>
      </c>
      <c r="L14" s="71">
        <f t="shared" ref="L14:N14" si="1">EDATE(K14,12)</f>
        <v>45015</v>
      </c>
      <c r="M14" s="71">
        <f t="shared" si="1"/>
        <v>45381</v>
      </c>
      <c r="N14" s="140">
        <f t="shared" si="1"/>
        <v>45746</v>
      </c>
      <c r="P14" s="163"/>
      <c r="Q14" s="27"/>
      <c r="R14" s="27"/>
      <c r="S14" s="27"/>
      <c r="T14" s="27"/>
      <c r="U14" s="27"/>
      <c r="V14" s="27"/>
      <c r="W14" s="27"/>
      <c r="X14" s="164"/>
    </row>
    <row r="15" spans="1:24" x14ac:dyDescent="0.3">
      <c r="A15" s="42" t="str">
        <f>$B$5</f>
        <v>Product 1</v>
      </c>
      <c r="B15" s="305">
        <v>0</v>
      </c>
      <c r="C15" s="306">
        <v>0</v>
      </c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7">
        <v>0</v>
      </c>
      <c r="J15" s="243"/>
      <c r="K15" s="305">
        <v>0</v>
      </c>
      <c r="L15" s="306">
        <v>0</v>
      </c>
      <c r="M15" s="306">
        <v>0</v>
      </c>
      <c r="N15" s="307">
        <v>0</v>
      </c>
      <c r="P15" s="163"/>
      <c r="Q15" s="27"/>
      <c r="R15" s="27"/>
      <c r="S15" s="27"/>
      <c r="T15" s="27"/>
      <c r="U15" s="27"/>
      <c r="V15" s="27"/>
      <c r="W15" s="27"/>
      <c r="X15" s="164"/>
    </row>
    <row r="16" spans="1:24" x14ac:dyDescent="0.3">
      <c r="A16" s="42" t="str">
        <f>$F$5</f>
        <v>Product 2</v>
      </c>
      <c r="B16" s="305">
        <v>0</v>
      </c>
      <c r="C16" s="306">
        <v>0</v>
      </c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7">
        <v>0</v>
      </c>
      <c r="J16" s="243"/>
      <c r="K16" s="305">
        <v>0</v>
      </c>
      <c r="L16" s="306">
        <v>0</v>
      </c>
      <c r="M16" s="306">
        <v>0</v>
      </c>
      <c r="N16" s="307">
        <v>0</v>
      </c>
      <c r="P16" s="163"/>
      <c r="Q16" s="27"/>
      <c r="R16" s="27"/>
      <c r="S16" s="27"/>
      <c r="T16" s="27"/>
      <c r="U16" s="27"/>
      <c r="V16" s="27"/>
      <c r="W16" s="27"/>
      <c r="X16" s="164"/>
    </row>
    <row r="17" spans="1:24" ht="15" thickBot="1" x14ac:dyDescent="0.35">
      <c r="A17" s="42" t="str">
        <f>$J$5</f>
        <v>Product 3</v>
      </c>
      <c r="B17" s="305">
        <v>0</v>
      </c>
      <c r="C17" s="306">
        <v>0</v>
      </c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7">
        <v>0</v>
      </c>
      <c r="J17" s="243"/>
      <c r="K17" s="305">
        <v>0</v>
      </c>
      <c r="L17" s="306">
        <v>0</v>
      </c>
      <c r="M17" s="306">
        <v>0</v>
      </c>
      <c r="N17" s="307">
        <v>0</v>
      </c>
      <c r="P17" s="125"/>
      <c r="Q17" s="126"/>
      <c r="R17" s="126"/>
      <c r="S17" s="126"/>
      <c r="T17" s="126"/>
      <c r="U17" s="126"/>
      <c r="V17" s="126"/>
      <c r="W17" s="126"/>
      <c r="X17" s="127"/>
    </row>
    <row r="18" spans="1:24" ht="15" thickTop="1" x14ac:dyDescent="0.3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P18" s="221"/>
      <c r="Q18" s="222"/>
      <c r="R18" s="222"/>
      <c r="S18" s="222"/>
      <c r="T18" s="222"/>
      <c r="U18" s="222"/>
      <c r="V18" s="222"/>
      <c r="W18" s="222"/>
      <c r="X18" s="216"/>
    </row>
    <row r="19" spans="1:24" ht="17.399999999999999" x14ac:dyDescent="0.35">
      <c r="P19" s="163"/>
      <c r="Q19" s="218" t="s">
        <v>211</v>
      </c>
      <c r="R19" s="27"/>
      <c r="S19" s="27"/>
      <c r="T19" s="27"/>
      <c r="U19" s="27"/>
      <c r="V19" s="27"/>
      <c r="W19" s="27"/>
      <c r="X19" s="164"/>
    </row>
    <row r="20" spans="1:24" ht="19.8" x14ac:dyDescent="0.4">
      <c r="A20" s="41" t="s">
        <v>158</v>
      </c>
      <c r="H20" s="234" t="s">
        <v>224</v>
      </c>
      <c r="P20" s="163"/>
      <c r="X20" s="164"/>
    </row>
    <row r="21" spans="1:24" ht="14.85" customHeight="1" x14ac:dyDescent="0.4">
      <c r="A21" s="41"/>
      <c r="B21" s="343" t="s">
        <v>144</v>
      </c>
      <c r="C21" s="344"/>
      <c r="D21" s="344"/>
      <c r="E21" s="344"/>
      <c r="F21" s="344"/>
      <c r="G21" s="344"/>
      <c r="H21" s="344"/>
      <c r="I21" s="345"/>
      <c r="J21" s="243"/>
      <c r="K21" s="351" t="s">
        <v>148</v>
      </c>
      <c r="L21" s="352"/>
      <c r="M21" s="352"/>
      <c r="N21" s="353"/>
      <c r="P21" s="163"/>
      <c r="R21" s="351" t="s">
        <v>212</v>
      </c>
      <c r="S21" s="352"/>
      <c r="T21" s="352"/>
      <c r="U21" s="352"/>
      <c r="V21" s="352"/>
      <c r="W21" s="353"/>
      <c r="X21" s="164"/>
    </row>
    <row r="22" spans="1:24" x14ac:dyDescent="0.3">
      <c r="A22" s="36"/>
      <c r="B22" s="346" t="s">
        <v>205</v>
      </c>
      <c r="C22" s="347"/>
      <c r="D22" s="347"/>
      <c r="E22" s="348"/>
      <c r="F22" s="349" t="s">
        <v>206</v>
      </c>
      <c r="G22" s="347"/>
      <c r="H22" s="347"/>
      <c r="I22" s="350"/>
      <c r="J22" s="243"/>
      <c r="K22" s="108" t="s">
        <v>145</v>
      </c>
      <c r="L22" s="109" t="s">
        <v>146</v>
      </c>
      <c r="M22" s="109" t="s">
        <v>147</v>
      </c>
      <c r="N22" s="110" t="s">
        <v>243</v>
      </c>
      <c r="P22" s="163"/>
      <c r="R22" s="108" t="s">
        <v>205</v>
      </c>
      <c r="S22" s="109" t="s">
        <v>206</v>
      </c>
      <c r="T22" s="109" t="s">
        <v>145</v>
      </c>
      <c r="U22" s="109" t="s">
        <v>146</v>
      </c>
      <c r="V22" s="109" t="s">
        <v>147</v>
      </c>
      <c r="W22" s="110" t="s">
        <v>243</v>
      </c>
      <c r="X22" s="164"/>
    </row>
    <row r="23" spans="1:24" x14ac:dyDescent="0.3">
      <c r="A23" s="59"/>
      <c r="B23" s="104">
        <f>StartDate</f>
        <v>43921</v>
      </c>
      <c r="C23" s="60">
        <f>EDATE(B23,3)</f>
        <v>44012</v>
      </c>
      <c r="D23" s="60">
        <f t="shared" ref="D23:I23" si="2">EDATE(C23,3)</f>
        <v>44104</v>
      </c>
      <c r="E23" s="60">
        <f t="shared" si="2"/>
        <v>44195</v>
      </c>
      <c r="F23" s="60">
        <f t="shared" si="2"/>
        <v>44285</v>
      </c>
      <c r="G23" s="60">
        <f t="shared" si="2"/>
        <v>44377</v>
      </c>
      <c r="H23" s="60">
        <f t="shared" si="2"/>
        <v>44469</v>
      </c>
      <c r="I23" s="100">
        <f t="shared" si="2"/>
        <v>44560</v>
      </c>
      <c r="J23" s="243"/>
      <c r="K23" s="104">
        <f>EDATE(I23,3)</f>
        <v>44650</v>
      </c>
      <c r="L23" s="60">
        <f t="shared" ref="L23:N23" si="3">EDATE(K23,12)</f>
        <v>45015</v>
      </c>
      <c r="M23" s="60">
        <f t="shared" si="3"/>
        <v>45381</v>
      </c>
      <c r="N23" s="107">
        <f t="shared" si="3"/>
        <v>45746</v>
      </c>
      <c r="P23" s="163"/>
      <c r="R23" s="104">
        <f>B23</f>
        <v>43921</v>
      </c>
      <c r="S23" s="60">
        <f>F23</f>
        <v>44285</v>
      </c>
      <c r="T23" s="60">
        <f>K23</f>
        <v>44650</v>
      </c>
      <c r="U23" s="60">
        <f t="shared" ref="U23:W23" si="4">EDATE(T23,12)</f>
        <v>45015</v>
      </c>
      <c r="V23" s="60">
        <f t="shared" si="4"/>
        <v>45381</v>
      </c>
      <c r="W23" s="107">
        <f t="shared" si="4"/>
        <v>45746</v>
      </c>
      <c r="X23" s="164"/>
    </row>
    <row r="24" spans="1:24" x14ac:dyDescent="0.3">
      <c r="A24" s="42" t="str">
        <f>$B$5</f>
        <v>Product 1</v>
      </c>
      <c r="B24" s="105">
        <f t="shared" ref="B24:I24" si="5">$B$9*B15</f>
        <v>0</v>
      </c>
      <c r="C24" s="98">
        <f t="shared" si="5"/>
        <v>0</v>
      </c>
      <c r="D24" s="98">
        <f t="shared" si="5"/>
        <v>0</v>
      </c>
      <c r="E24" s="98">
        <f t="shared" si="5"/>
        <v>0</v>
      </c>
      <c r="F24" s="98">
        <f t="shared" si="5"/>
        <v>0</v>
      </c>
      <c r="G24" s="98">
        <f t="shared" si="5"/>
        <v>0</v>
      </c>
      <c r="H24" s="98">
        <f t="shared" si="5"/>
        <v>0</v>
      </c>
      <c r="I24" s="98">
        <f t="shared" si="5"/>
        <v>0</v>
      </c>
      <c r="J24" s="243"/>
      <c r="K24" s="105">
        <f>$B$9*K15</f>
        <v>0</v>
      </c>
      <c r="L24" s="98">
        <f>$B$9*L15</f>
        <v>0</v>
      </c>
      <c r="M24" s="98">
        <f>$B$9*M15</f>
        <v>0</v>
      </c>
      <c r="N24" s="246">
        <f>$B$9*N15</f>
        <v>0</v>
      </c>
      <c r="P24" s="163"/>
      <c r="Q24" s="212" t="str">
        <f>A24</f>
        <v>Product 1</v>
      </c>
      <c r="R24" s="105">
        <f>SUM(B24:E24)</f>
        <v>0</v>
      </c>
      <c r="S24" s="98">
        <f>SUM(F24:I24)</f>
        <v>0</v>
      </c>
      <c r="T24" s="98">
        <f>K24</f>
        <v>0</v>
      </c>
      <c r="U24" s="98">
        <f t="shared" ref="U24:W26" si="6">L24</f>
        <v>0</v>
      </c>
      <c r="V24" s="98">
        <f t="shared" si="6"/>
        <v>0</v>
      </c>
      <c r="W24" s="101">
        <f t="shared" si="6"/>
        <v>0</v>
      </c>
      <c r="X24" s="164"/>
    </row>
    <row r="25" spans="1:24" x14ac:dyDescent="0.3">
      <c r="A25" s="42" t="str">
        <f>$F$5</f>
        <v>Product 2</v>
      </c>
      <c r="B25" s="105">
        <f t="shared" ref="B25:I26" si="7">$F$9*B16</f>
        <v>0</v>
      </c>
      <c r="C25" s="98">
        <f t="shared" si="7"/>
        <v>0</v>
      </c>
      <c r="D25" s="98">
        <f t="shared" si="7"/>
        <v>0</v>
      </c>
      <c r="E25" s="98">
        <f t="shared" si="7"/>
        <v>0</v>
      </c>
      <c r="F25" s="98">
        <f t="shared" si="7"/>
        <v>0</v>
      </c>
      <c r="G25" s="98">
        <f t="shared" si="7"/>
        <v>0</v>
      </c>
      <c r="H25" s="98">
        <f t="shared" si="7"/>
        <v>0</v>
      </c>
      <c r="I25" s="101">
        <f t="shared" si="7"/>
        <v>0</v>
      </c>
      <c r="J25" s="243"/>
      <c r="K25" s="105">
        <f>$F$9*K16</f>
        <v>0</v>
      </c>
      <c r="L25" s="98">
        <f>$F$9*L16</f>
        <v>0</v>
      </c>
      <c r="M25" s="98">
        <f>$F$9*M16</f>
        <v>0</v>
      </c>
      <c r="N25" s="246">
        <f>$F$9*N16</f>
        <v>0</v>
      </c>
      <c r="P25" s="163"/>
      <c r="Q25" s="212" t="str">
        <f>A25</f>
        <v>Product 2</v>
      </c>
      <c r="R25" s="105">
        <f>SUM(B25:E25)</f>
        <v>0</v>
      </c>
      <c r="S25" s="98">
        <f>SUM(F25:I25)</f>
        <v>0</v>
      </c>
      <c r="T25" s="98">
        <f>K25</f>
        <v>0</v>
      </c>
      <c r="U25" s="98">
        <f t="shared" si="6"/>
        <v>0</v>
      </c>
      <c r="V25" s="98">
        <f t="shared" si="6"/>
        <v>0</v>
      </c>
      <c r="W25" s="101">
        <f t="shared" si="6"/>
        <v>0</v>
      </c>
      <c r="X25" s="164"/>
    </row>
    <row r="26" spans="1:24" ht="15" thickBot="1" x14ac:dyDescent="0.35">
      <c r="A26" s="43" t="str">
        <f>$J$5</f>
        <v>Product 3</v>
      </c>
      <c r="B26" s="106">
        <f t="shared" si="7"/>
        <v>0</v>
      </c>
      <c r="C26" s="99">
        <f t="shared" ref="C26:I26" si="8">$J$6*C17*(1-$J$7)*(1-$J$8)</f>
        <v>0</v>
      </c>
      <c r="D26" s="99">
        <f t="shared" si="8"/>
        <v>0</v>
      </c>
      <c r="E26" s="99">
        <f t="shared" si="8"/>
        <v>0</v>
      </c>
      <c r="F26" s="99">
        <f t="shared" si="8"/>
        <v>0</v>
      </c>
      <c r="G26" s="99">
        <f t="shared" si="8"/>
        <v>0</v>
      </c>
      <c r="H26" s="99">
        <f t="shared" si="8"/>
        <v>0</v>
      </c>
      <c r="I26" s="102">
        <f t="shared" si="8"/>
        <v>0</v>
      </c>
      <c r="J26" s="243"/>
      <c r="K26" s="106">
        <f>$J$6*K17*(1-$J$7)*(1-$J$8)</f>
        <v>0</v>
      </c>
      <c r="L26" s="99">
        <f>$J$6*L17*(1-$J$7)*(1-$J$8)</f>
        <v>0</v>
      </c>
      <c r="M26" s="99">
        <f>$J$6*M17*(1-$J$7)*(1-$J$8)</f>
        <v>0</v>
      </c>
      <c r="N26" s="102">
        <f>$J$6*N17*(1-$J$7)*(1-$J$8)</f>
        <v>0</v>
      </c>
      <c r="P26" s="163"/>
      <c r="Q26" s="212" t="str">
        <f>A26</f>
        <v>Product 3</v>
      </c>
      <c r="R26" s="106">
        <f>SUM(B26:E26)</f>
        <v>0</v>
      </c>
      <c r="S26" s="99">
        <f>SUM(F26:I26)</f>
        <v>0</v>
      </c>
      <c r="T26" s="99">
        <f>K26</f>
        <v>0</v>
      </c>
      <c r="U26" s="99">
        <f t="shared" si="6"/>
        <v>0</v>
      </c>
      <c r="V26" s="99">
        <f t="shared" si="6"/>
        <v>0</v>
      </c>
      <c r="W26" s="102">
        <f t="shared" si="6"/>
        <v>0</v>
      </c>
      <c r="X26" s="164"/>
    </row>
    <row r="27" spans="1:24" ht="15" thickTop="1" x14ac:dyDescent="0.3">
      <c r="A27" s="44" t="s">
        <v>13</v>
      </c>
      <c r="B27" s="117">
        <f t="shared" ref="B27:I27" si="9">SUM(B24:B26)</f>
        <v>0</v>
      </c>
      <c r="C27" s="86">
        <f t="shared" si="9"/>
        <v>0</v>
      </c>
      <c r="D27" s="86">
        <f t="shared" si="9"/>
        <v>0</v>
      </c>
      <c r="E27" s="86">
        <f t="shared" si="9"/>
        <v>0</v>
      </c>
      <c r="F27" s="86">
        <f t="shared" si="9"/>
        <v>0</v>
      </c>
      <c r="G27" s="86">
        <f t="shared" si="9"/>
        <v>0</v>
      </c>
      <c r="H27" s="86">
        <f t="shared" si="9"/>
        <v>0</v>
      </c>
      <c r="I27" s="118">
        <f t="shared" si="9"/>
        <v>0</v>
      </c>
      <c r="J27" s="243"/>
      <c r="K27" s="117">
        <f>SUM(K24:K26)</f>
        <v>0</v>
      </c>
      <c r="L27" s="86">
        <f>SUM(L24:L26)</f>
        <v>0</v>
      </c>
      <c r="M27" s="86">
        <f>SUM(M24:M26)</f>
        <v>0</v>
      </c>
      <c r="N27" s="118">
        <f>SUM(N24:N26)</f>
        <v>0</v>
      </c>
      <c r="P27" s="163"/>
      <c r="R27" s="86">
        <f t="shared" ref="R27:W27" si="10">SUM(R24:R26)</f>
        <v>0</v>
      </c>
      <c r="S27" s="86">
        <f t="shared" si="10"/>
        <v>0</v>
      </c>
      <c r="T27" s="86">
        <f t="shared" si="10"/>
        <v>0</v>
      </c>
      <c r="U27" s="86">
        <f t="shared" si="10"/>
        <v>0</v>
      </c>
      <c r="V27" s="86">
        <f t="shared" si="10"/>
        <v>0</v>
      </c>
      <c r="W27" s="118">
        <f t="shared" si="10"/>
        <v>0</v>
      </c>
      <c r="X27" s="164"/>
    </row>
    <row r="28" spans="1:24" x14ac:dyDescent="0.3">
      <c r="F28" s="215"/>
      <c r="G28" s="215"/>
      <c r="H28" s="215"/>
      <c r="I28" s="215"/>
      <c r="J28" s="215"/>
      <c r="K28" s="215"/>
      <c r="L28" s="215"/>
      <c r="M28" s="215"/>
      <c r="N28" s="215"/>
      <c r="P28" s="163"/>
      <c r="Q28" s="27"/>
      <c r="R28" s="27"/>
      <c r="S28" s="27"/>
      <c r="T28" s="27"/>
      <c r="U28" s="27"/>
      <c r="V28" s="27"/>
      <c r="W28" s="27"/>
      <c r="X28" s="164"/>
    </row>
    <row r="29" spans="1:24" x14ac:dyDescent="0.3">
      <c r="F29" s="213"/>
      <c r="G29" s="213"/>
      <c r="H29" s="213"/>
      <c r="I29" s="213"/>
      <c r="J29" s="213"/>
      <c r="K29" s="213"/>
      <c r="L29" s="213"/>
      <c r="M29" s="213"/>
      <c r="N29" s="213"/>
      <c r="P29" s="163"/>
      <c r="Q29" s="27"/>
      <c r="R29" s="27"/>
      <c r="S29" s="27"/>
      <c r="T29" s="27"/>
      <c r="U29" s="27"/>
      <c r="V29" s="27"/>
      <c r="W29" s="27"/>
      <c r="X29" s="164"/>
    </row>
    <row r="30" spans="1:24" x14ac:dyDescent="0.3">
      <c r="I30" s="213"/>
      <c r="J30" s="213"/>
      <c r="K30" s="213"/>
      <c r="L30" s="213"/>
      <c r="M30" s="213"/>
      <c r="N30" s="213"/>
      <c r="P30" s="163"/>
      <c r="Q30" s="27"/>
      <c r="R30" s="27"/>
      <c r="S30" s="27"/>
      <c r="T30" s="27"/>
      <c r="U30" s="27"/>
      <c r="V30" s="27"/>
      <c r="W30" s="27"/>
      <c r="X30" s="164"/>
    </row>
    <row r="31" spans="1:24" x14ac:dyDescent="0.3">
      <c r="I31" s="213"/>
      <c r="J31" s="213"/>
      <c r="K31" s="237"/>
      <c r="L31" s="237"/>
      <c r="M31" s="237"/>
      <c r="N31" s="237"/>
      <c r="P31" s="163"/>
      <c r="Q31" s="27"/>
      <c r="R31" s="27"/>
      <c r="S31" s="27"/>
      <c r="T31" s="27"/>
      <c r="U31" s="27"/>
      <c r="V31" s="27"/>
      <c r="W31" s="27"/>
      <c r="X31" s="164"/>
    </row>
    <row r="32" spans="1:24" ht="14.55" customHeight="1" x14ac:dyDescent="0.3">
      <c r="I32" s="234"/>
      <c r="J32" s="234"/>
      <c r="M32" s="213"/>
      <c r="N32" s="213"/>
      <c r="P32" s="163"/>
      <c r="Q32" s="27"/>
      <c r="R32" s="27"/>
      <c r="S32" s="27"/>
      <c r="T32" s="27"/>
      <c r="U32" s="27"/>
      <c r="V32" s="27"/>
      <c r="W32" s="27"/>
      <c r="X32" s="164"/>
    </row>
    <row r="33" spans="13:24" ht="14.55" customHeight="1" x14ac:dyDescent="0.3">
      <c r="M33" s="213"/>
      <c r="N33" s="213"/>
      <c r="P33" s="163"/>
      <c r="Q33" s="27"/>
      <c r="R33" s="27"/>
      <c r="S33" s="27"/>
      <c r="T33" s="27"/>
      <c r="U33" s="27"/>
      <c r="V33" s="27"/>
      <c r="W33" s="27"/>
      <c r="X33" s="164"/>
    </row>
    <row r="34" spans="13:24" ht="14.55" customHeight="1" x14ac:dyDescent="0.3">
      <c r="M34" s="213"/>
      <c r="N34" s="213"/>
      <c r="P34" s="163"/>
      <c r="Q34" s="27"/>
      <c r="R34" s="27"/>
      <c r="S34" s="27"/>
      <c r="T34" s="27"/>
      <c r="U34" s="27"/>
      <c r="V34" s="27"/>
      <c r="W34" s="27"/>
      <c r="X34" s="164"/>
    </row>
    <row r="35" spans="13:24" ht="14.55" customHeight="1" x14ac:dyDescent="0.3">
      <c r="M35" s="213"/>
      <c r="N35" s="213"/>
      <c r="P35" s="163"/>
      <c r="Q35" s="27"/>
      <c r="R35" s="27"/>
      <c r="S35" s="27"/>
      <c r="T35" s="27"/>
      <c r="U35" s="27"/>
      <c r="V35" s="27"/>
      <c r="W35" s="27"/>
      <c r="X35" s="164"/>
    </row>
    <row r="36" spans="13:24" ht="14.55" customHeight="1" x14ac:dyDescent="0.3">
      <c r="M36" s="213"/>
      <c r="N36" s="213"/>
      <c r="P36" s="163"/>
      <c r="Q36" s="27"/>
      <c r="R36" s="27"/>
      <c r="S36" s="27"/>
      <c r="T36" s="27"/>
      <c r="U36" s="27"/>
      <c r="V36" s="27"/>
      <c r="W36" s="27"/>
      <c r="X36" s="164"/>
    </row>
    <row r="37" spans="13:24" ht="14.55" customHeight="1" x14ac:dyDescent="0.3">
      <c r="M37" s="213"/>
      <c r="N37" s="213"/>
      <c r="P37" s="163"/>
      <c r="Q37" s="27"/>
      <c r="R37" s="27"/>
      <c r="S37" s="27"/>
      <c r="T37" s="27"/>
      <c r="U37" s="27"/>
      <c r="V37" s="27"/>
      <c r="W37" s="27"/>
      <c r="X37" s="164"/>
    </row>
    <row r="38" spans="13:24" ht="14.55" customHeight="1" x14ac:dyDescent="0.3">
      <c r="M38" s="213"/>
      <c r="N38" s="213"/>
      <c r="P38" s="163"/>
      <c r="Q38" s="27"/>
      <c r="R38" s="27"/>
      <c r="S38" s="27"/>
      <c r="T38" s="27"/>
      <c r="U38" s="27"/>
      <c r="V38" s="27"/>
      <c r="W38" s="27"/>
      <c r="X38" s="164"/>
    </row>
    <row r="39" spans="13:24" x14ac:dyDescent="0.3">
      <c r="P39" s="163"/>
      <c r="Q39" s="27"/>
      <c r="R39" s="27"/>
      <c r="S39" s="27"/>
      <c r="T39" s="27"/>
      <c r="U39" s="27"/>
      <c r="V39" s="27"/>
      <c r="W39" s="27"/>
      <c r="X39" s="164"/>
    </row>
    <row r="40" spans="13:24" x14ac:dyDescent="0.3">
      <c r="P40" s="163"/>
      <c r="Q40" s="27"/>
      <c r="R40" s="27"/>
      <c r="S40" s="27"/>
      <c r="T40" s="27"/>
      <c r="U40" s="27"/>
      <c r="V40" s="27"/>
      <c r="W40" s="27"/>
      <c r="X40" s="164"/>
    </row>
    <row r="41" spans="13:24" x14ac:dyDescent="0.3">
      <c r="P41" s="163"/>
      <c r="Q41" s="27"/>
      <c r="R41" s="27"/>
      <c r="S41" s="27"/>
      <c r="T41" s="27"/>
      <c r="U41" s="27"/>
      <c r="V41" s="27"/>
      <c r="W41" s="27"/>
      <c r="X41" s="164"/>
    </row>
    <row r="42" spans="13:24" x14ac:dyDescent="0.3">
      <c r="P42" s="163"/>
      <c r="Q42" s="27"/>
      <c r="R42" s="27"/>
      <c r="S42" s="27"/>
      <c r="T42" s="27"/>
      <c r="U42" s="27"/>
      <c r="V42" s="27"/>
      <c r="W42" s="27"/>
      <c r="X42" s="164"/>
    </row>
    <row r="43" spans="13:24" x14ac:dyDescent="0.3">
      <c r="P43" s="163"/>
      <c r="Q43" s="27"/>
      <c r="R43" s="27"/>
      <c r="S43" s="27"/>
      <c r="T43" s="27"/>
      <c r="U43" s="27"/>
      <c r="V43" s="27"/>
      <c r="W43" s="27"/>
      <c r="X43" s="164"/>
    </row>
    <row r="44" spans="13:24" x14ac:dyDescent="0.3">
      <c r="P44" s="163"/>
      <c r="Q44" s="27"/>
      <c r="R44" s="27"/>
      <c r="S44" s="27"/>
      <c r="T44" s="27"/>
      <c r="U44" s="27"/>
      <c r="V44" s="27"/>
      <c r="W44" s="27"/>
      <c r="X44" s="164"/>
    </row>
    <row r="45" spans="13:24" x14ac:dyDescent="0.3">
      <c r="P45" s="163"/>
      <c r="Q45" s="27"/>
      <c r="R45" s="27"/>
      <c r="S45" s="27"/>
      <c r="T45" s="27"/>
      <c r="U45" s="27"/>
      <c r="V45" s="27"/>
      <c r="W45" s="27"/>
      <c r="X45" s="164"/>
    </row>
    <row r="46" spans="13:24" x14ac:dyDescent="0.3">
      <c r="P46" s="163"/>
      <c r="Q46" s="27"/>
      <c r="R46" s="27"/>
      <c r="S46" s="27"/>
      <c r="T46" s="27"/>
      <c r="U46" s="27"/>
      <c r="V46" s="27"/>
      <c r="W46" s="27"/>
      <c r="X46" s="164"/>
    </row>
    <row r="47" spans="13:24" ht="15" thickBot="1" x14ac:dyDescent="0.35">
      <c r="P47" s="125"/>
      <c r="Q47" s="126"/>
      <c r="R47" s="126"/>
      <c r="S47" s="126"/>
      <c r="T47" s="126"/>
      <c r="U47" s="126"/>
      <c r="V47" s="126"/>
      <c r="W47" s="126"/>
      <c r="X47" s="127"/>
    </row>
    <row r="48" spans="13:24" ht="15" thickTop="1" x14ac:dyDescent="0.3"/>
  </sheetData>
  <mergeCells count="21">
    <mergeCell ref="K5:M5"/>
    <mergeCell ref="K6:M6"/>
    <mergeCell ref="K7:M7"/>
    <mergeCell ref="K8:M8"/>
    <mergeCell ref="R21:W21"/>
    <mergeCell ref="K21:N21"/>
    <mergeCell ref="K12:N12"/>
    <mergeCell ref="B22:E22"/>
    <mergeCell ref="F22:I22"/>
    <mergeCell ref="G7:I7"/>
    <mergeCell ref="G8:I8"/>
    <mergeCell ref="B12:I12"/>
    <mergeCell ref="B13:E13"/>
    <mergeCell ref="F13:I13"/>
    <mergeCell ref="C5:E5"/>
    <mergeCell ref="G5:I5"/>
    <mergeCell ref="C6:E6"/>
    <mergeCell ref="G6:I6"/>
    <mergeCell ref="B21:I21"/>
    <mergeCell ref="C7:E7"/>
    <mergeCell ref="C8:E8"/>
  </mergeCells>
  <conditionalFormatting sqref="F28:N28">
    <cfRule type="cellIs" dxfId="105" priority="1" operator="greaterThan">
      <formula>0.2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X49"/>
  <sheetViews>
    <sheetView tabSelected="1" zoomScaleNormal="100" workbookViewId="0">
      <selection activeCell="C8" sqref="C8"/>
    </sheetView>
  </sheetViews>
  <sheetFormatPr defaultRowHeight="14.4" x14ac:dyDescent="0.3"/>
  <cols>
    <col min="1" max="1" width="20.21875" customWidth="1"/>
    <col min="2" max="9" width="11.77734375" customWidth="1"/>
    <col min="10" max="10" width="8.44140625" customWidth="1"/>
    <col min="11" max="14" width="13" customWidth="1"/>
    <col min="15" max="15" width="10" customWidth="1"/>
    <col min="16" max="16" width="3.77734375" customWidth="1"/>
    <col min="17" max="23" width="14.44140625" customWidth="1"/>
    <col min="24" max="24" width="3.77734375" customWidth="1"/>
  </cols>
  <sheetData>
    <row r="1" spans="1:24" ht="24.6" thickTop="1" thickBot="1" x14ac:dyDescent="0.5">
      <c r="A1" s="38" t="s">
        <v>55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224" t="str">
        <f>CompanyName &amp;" Revenue Forecast"</f>
        <v>WorkHorse Revenue Forecast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"Revenues ("&amp;SubHeader&amp;")"</f>
        <v>Revenues (USD)</v>
      </c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28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ht="19.8" x14ac:dyDescent="0.4">
      <c r="A4" s="37" t="s">
        <v>47</v>
      </c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ht="15" customHeight="1" x14ac:dyDescent="0.3">
      <c r="A5" s="27" t="s">
        <v>53</v>
      </c>
      <c r="B5" s="67" t="s">
        <v>49</v>
      </c>
      <c r="C5" s="34"/>
      <c r="D5" s="34"/>
      <c r="E5" s="34"/>
      <c r="F5" s="34"/>
      <c r="G5" s="34"/>
      <c r="H5" s="35"/>
      <c r="I5" s="35"/>
      <c r="J5" s="35"/>
      <c r="K5" s="35"/>
      <c r="L5" s="35"/>
      <c r="M5" s="35"/>
      <c r="N5" s="35"/>
      <c r="O5" s="32"/>
      <c r="P5" s="219"/>
      <c r="Q5" s="45"/>
      <c r="R5" s="45"/>
      <c r="S5" s="45"/>
      <c r="T5" s="45"/>
      <c r="U5" s="45"/>
      <c r="V5" s="45"/>
      <c r="W5" s="45"/>
      <c r="X5" s="220"/>
    </row>
    <row r="6" spans="1:24" ht="15" customHeight="1" x14ac:dyDescent="0.3">
      <c r="A6" s="27"/>
      <c r="B6" s="28"/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ht="15" customHeight="1" x14ac:dyDescent="0.3">
      <c r="A7" t="s">
        <v>54</v>
      </c>
      <c r="C7" s="34"/>
      <c r="D7" s="34"/>
      <c r="E7" s="34"/>
      <c r="F7" s="34"/>
      <c r="G7" s="34"/>
      <c r="H7" s="35"/>
      <c r="I7" s="35"/>
      <c r="J7" s="35"/>
      <c r="K7" s="35"/>
      <c r="L7" s="35"/>
      <c r="M7" s="35"/>
      <c r="N7" s="35"/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ht="15" customHeight="1" x14ac:dyDescent="0.3">
      <c r="B8" t="s">
        <v>50</v>
      </c>
      <c r="C8" s="34"/>
      <c r="D8" s="34"/>
      <c r="E8" s="34"/>
      <c r="F8" s="34"/>
      <c r="G8" s="34"/>
      <c r="H8" s="35"/>
      <c r="I8" s="35"/>
      <c r="J8" s="35"/>
      <c r="K8" s="35"/>
      <c r="L8" s="35"/>
      <c r="M8" s="35"/>
      <c r="N8" s="35"/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5" customHeight="1" x14ac:dyDescent="0.3">
      <c r="B9" t="s">
        <v>49</v>
      </c>
      <c r="C9" s="34"/>
      <c r="D9" s="34"/>
      <c r="E9" s="34"/>
      <c r="F9" s="34"/>
      <c r="G9" s="34"/>
      <c r="H9" s="35"/>
      <c r="I9" s="35"/>
      <c r="J9" s="35"/>
      <c r="K9" s="35"/>
      <c r="L9" s="35"/>
      <c r="M9" s="35"/>
      <c r="N9" s="35"/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ht="15" customHeight="1" x14ac:dyDescent="0.3">
      <c r="A10" s="27"/>
      <c r="B10" s="28"/>
      <c r="C10" s="34"/>
      <c r="D10" s="34"/>
      <c r="E10" s="34"/>
      <c r="F10" s="34"/>
      <c r="G10" s="34"/>
      <c r="H10" s="35"/>
      <c r="I10" s="35"/>
      <c r="J10" s="35"/>
      <c r="K10" s="35"/>
      <c r="L10" s="35"/>
      <c r="M10" s="35"/>
      <c r="N10" s="35"/>
      <c r="O10" s="32"/>
      <c r="P10" s="217"/>
      <c r="Q10" s="27"/>
      <c r="R10" s="27"/>
      <c r="S10" s="27"/>
      <c r="T10" s="27"/>
      <c r="U10" s="27"/>
      <c r="V10" s="27"/>
      <c r="W10" s="27"/>
      <c r="X10" s="164"/>
    </row>
    <row r="11" spans="1:24" ht="15" customHeight="1" x14ac:dyDescent="0.3">
      <c r="A11" s="27"/>
      <c r="B11" s="28"/>
      <c r="C11" s="34"/>
      <c r="D11" s="34"/>
      <c r="E11" s="34"/>
      <c r="F11" s="34"/>
      <c r="G11" s="34"/>
      <c r="H11" s="35"/>
      <c r="I11" s="35"/>
      <c r="J11" s="35"/>
      <c r="K11" s="35"/>
      <c r="L11" s="35"/>
      <c r="M11" s="35"/>
      <c r="N11" s="35"/>
      <c r="O11" s="32"/>
      <c r="P11" s="217"/>
      <c r="Q11" s="27"/>
      <c r="R11" s="27"/>
      <c r="S11" s="27"/>
      <c r="T11" s="27"/>
      <c r="U11" s="27"/>
      <c r="V11" s="27"/>
      <c r="W11" s="27"/>
      <c r="X11" s="164"/>
    </row>
    <row r="12" spans="1:24" ht="19.8" x14ac:dyDescent="0.4">
      <c r="A12" s="41" t="s">
        <v>175</v>
      </c>
      <c r="O12" s="32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ht="15" customHeight="1" x14ac:dyDescent="0.4">
      <c r="A13" s="41"/>
      <c r="B13" s="343" t="s">
        <v>152</v>
      </c>
      <c r="C13" s="344"/>
      <c r="D13" s="344"/>
      <c r="E13" s="344"/>
      <c r="F13" s="344"/>
      <c r="G13" s="344"/>
      <c r="H13" s="344"/>
      <c r="I13" s="345"/>
      <c r="J13" s="243"/>
      <c r="K13" s="351" t="s">
        <v>151</v>
      </c>
      <c r="L13" s="352"/>
      <c r="M13" s="352"/>
      <c r="N13" s="353"/>
      <c r="O13" s="32"/>
      <c r="P13" s="217"/>
      <c r="Q13" s="27"/>
      <c r="R13" s="27"/>
      <c r="S13" s="27"/>
      <c r="T13" s="27"/>
      <c r="U13" s="27"/>
      <c r="V13" s="27"/>
      <c r="W13" s="27"/>
      <c r="X13" s="164"/>
    </row>
    <row r="14" spans="1:24" ht="15" customHeight="1" x14ac:dyDescent="0.3">
      <c r="A14" s="36"/>
      <c r="B14" s="346" t="s">
        <v>205</v>
      </c>
      <c r="C14" s="347"/>
      <c r="D14" s="347"/>
      <c r="E14" s="348"/>
      <c r="F14" s="349" t="s">
        <v>206</v>
      </c>
      <c r="G14" s="347"/>
      <c r="H14" s="347"/>
      <c r="I14" s="350"/>
      <c r="J14" s="243"/>
      <c r="K14" s="108" t="s">
        <v>145</v>
      </c>
      <c r="L14" s="109" t="s">
        <v>146</v>
      </c>
      <c r="M14" s="109" t="s">
        <v>147</v>
      </c>
      <c r="N14" s="110" t="s">
        <v>243</v>
      </c>
      <c r="O14" s="32"/>
      <c r="P14" s="163"/>
      <c r="Q14" s="27"/>
      <c r="R14" s="27"/>
      <c r="S14" s="27"/>
      <c r="T14" s="27"/>
      <c r="U14" s="27"/>
      <c r="V14" s="27"/>
      <c r="W14" s="27"/>
      <c r="X14" s="164"/>
    </row>
    <row r="15" spans="1:24" ht="15" customHeight="1" x14ac:dyDescent="0.3">
      <c r="A15" s="59"/>
      <c r="B15" s="104">
        <f>StartDate</f>
        <v>43921</v>
      </c>
      <c r="C15" s="60">
        <f>EDATE(B15,3)</f>
        <v>44012</v>
      </c>
      <c r="D15" s="60">
        <f t="shared" ref="D15:I15" si="0">EDATE(C15,3)</f>
        <v>44104</v>
      </c>
      <c r="E15" s="60">
        <f t="shared" si="0"/>
        <v>44195</v>
      </c>
      <c r="F15" s="60">
        <f t="shared" si="0"/>
        <v>44285</v>
      </c>
      <c r="G15" s="60">
        <f t="shared" si="0"/>
        <v>44377</v>
      </c>
      <c r="H15" s="60">
        <f t="shared" si="0"/>
        <v>44469</v>
      </c>
      <c r="I15" s="100">
        <f t="shared" si="0"/>
        <v>44560</v>
      </c>
      <c r="J15" s="243"/>
      <c r="K15" s="104">
        <f>EDATE(I15,3)</f>
        <v>44650</v>
      </c>
      <c r="L15" s="60">
        <f t="shared" ref="L15:N15" si="1">EDATE(K15,12)</f>
        <v>45015</v>
      </c>
      <c r="M15" s="60">
        <f t="shared" si="1"/>
        <v>45381</v>
      </c>
      <c r="N15" s="107">
        <f t="shared" si="1"/>
        <v>45746</v>
      </c>
      <c r="O15" s="32"/>
      <c r="P15" s="163"/>
      <c r="Q15" s="27"/>
      <c r="R15" s="27"/>
      <c r="S15" s="27"/>
      <c r="T15" s="27"/>
      <c r="U15" s="27"/>
      <c r="V15" s="27"/>
      <c r="W15" s="27"/>
      <c r="X15" s="164"/>
    </row>
    <row r="16" spans="1:24" ht="15" customHeight="1" x14ac:dyDescent="0.3">
      <c r="A16" s="42" t="str">
        <f>'Bottom-Up'!A24</f>
        <v>Product 1</v>
      </c>
      <c r="B16" s="120">
        <f>IF($B$5="Bottom-up",'Bottom-Up'!B24,'Top-Down'!B42)</f>
        <v>0</v>
      </c>
      <c r="C16" s="51">
        <f>IF($B$5="Bottom-up",'Bottom-Up'!C24,'Top-Down'!C42)</f>
        <v>0</v>
      </c>
      <c r="D16" s="51">
        <f>IF($B$5="Bottom-up",'Bottom-Up'!D24,'Top-Down'!D42)</f>
        <v>0</v>
      </c>
      <c r="E16" s="51">
        <f>IF($B$5="Bottom-up",'Bottom-Up'!E24,'Top-Down'!E42)</f>
        <v>0</v>
      </c>
      <c r="F16" s="51">
        <f>IF($B$5="Bottom-up",'Bottom-Up'!F24,'Top-Down'!F42)</f>
        <v>0</v>
      </c>
      <c r="G16" s="51">
        <f>IF($B$5="Bottom-up",'Bottom-Up'!G24,'Top-Down'!G42)</f>
        <v>0</v>
      </c>
      <c r="H16" s="51">
        <f>IF($B$5="Bottom-up",'Bottom-Up'!H24,'Top-Down'!H42)</f>
        <v>0</v>
      </c>
      <c r="I16" s="121">
        <f>IF($B$5="Bottom-up",'Bottom-Up'!I24,'Top-Down'!I42)</f>
        <v>0</v>
      </c>
      <c r="J16" s="243"/>
      <c r="K16" s="120">
        <f>IF($B$5="Bottom-up",'Bottom-Up'!K24,'Top-Down'!K42)</f>
        <v>0</v>
      </c>
      <c r="L16" s="51">
        <f>IF($B$5="Bottom-up",'Bottom-Up'!L24,'Top-Down'!L42)</f>
        <v>0</v>
      </c>
      <c r="M16" s="51">
        <f>IF($B$5="Bottom-up",'Bottom-Up'!M24,'Top-Down'!M42)</f>
        <v>0</v>
      </c>
      <c r="N16" s="121">
        <f>IF($B$5="Bottom-up",'Bottom-Up'!N24,'Top-Down'!N42)</f>
        <v>0</v>
      </c>
      <c r="O16" s="32"/>
      <c r="P16" s="163"/>
      <c r="Q16" s="27"/>
      <c r="R16" s="27"/>
      <c r="S16" s="27"/>
      <c r="T16" s="27"/>
      <c r="U16" s="27"/>
      <c r="V16" s="27"/>
      <c r="W16" s="27"/>
      <c r="X16" s="164"/>
    </row>
    <row r="17" spans="1:24" ht="15" customHeight="1" x14ac:dyDescent="0.3">
      <c r="A17" s="42" t="str">
        <f>'Bottom-Up'!A25</f>
        <v>Product 2</v>
      </c>
      <c r="B17" s="120">
        <f>IF($B$5="Bottom-up",'Bottom-Up'!B25,'Top-Down'!B43)</f>
        <v>0</v>
      </c>
      <c r="C17" s="51">
        <f>IF($B$5="Bottom-up",'Bottom-Up'!C25,'Top-Down'!C43)</f>
        <v>0</v>
      </c>
      <c r="D17" s="51">
        <f>IF($B$5="Bottom-up",'Bottom-Up'!D25,'Top-Down'!D43)</f>
        <v>0</v>
      </c>
      <c r="E17" s="51">
        <f>IF($B$5="Bottom-up",'Bottom-Up'!E25,'Top-Down'!E43)</f>
        <v>0</v>
      </c>
      <c r="F17" s="51">
        <f>IF($B$5="Bottom-up",'Bottom-Up'!F25,'Top-Down'!F43)</f>
        <v>0</v>
      </c>
      <c r="G17" s="51">
        <f>IF($B$5="Bottom-up",'Bottom-Up'!G25,'Top-Down'!G43)</f>
        <v>0</v>
      </c>
      <c r="H17" s="51">
        <f>IF($B$5="Bottom-up",'Bottom-Up'!H25,'Top-Down'!H43)</f>
        <v>0</v>
      </c>
      <c r="I17" s="121">
        <f>IF($B$5="Bottom-up",'Bottom-Up'!I25,'Top-Down'!I43)</f>
        <v>0</v>
      </c>
      <c r="J17" s="243"/>
      <c r="K17" s="120">
        <f>IF($B$5="Bottom-up",'Bottom-Up'!K25,'Top-Down'!K43)</f>
        <v>0</v>
      </c>
      <c r="L17" s="51">
        <f>IF($B$5="Bottom-up",'Bottom-Up'!L25,'Top-Down'!L43)</f>
        <v>0</v>
      </c>
      <c r="M17" s="51">
        <f>IF($B$5="Bottom-up",'Bottom-Up'!M25,'Top-Down'!M43)</f>
        <v>0</v>
      </c>
      <c r="N17" s="121">
        <f>IF($B$5="Bottom-up",'Bottom-Up'!N25,'Top-Down'!N43)</f>
        <v>0</v>
      </c>
      <c r="O17" s="32"/>
      <c r="P17" s="163"/>
      <c r="Q17" s="27"/>
      <c r="R17" s="27"/>
      <c r="S17" s="27"/>
      <c r="T17" s="27"/>
      <c r="U17" s="27"/>
      <c r="V17" s="27"/>
      <c r="W17" s="27"/>
      <c r="X17" s="164"/>
    </row>
    <row r="18" spans="1:24" ht="15" customHeight="1" thickBot="1" x14ac:dyDescent="0.35">
      <c r="A18" s="43" t="str">
        <f>'Bottom-Up'!A26</f>
        <v>Product 3</v>
      </c>
      <c r="B18" s="122">
        <f>IF($B$5="Bottom-up",'Bottom-Up'!B26,'Top-Down'!B44)</f>
        <v>0</v>
      </c>
      <c r="C18" s="52">
        <f>IF($B$5="Bottom-up",'Bottom-Up'!C26,'Top-Down'!C44)</f>
        <v>0</v>
      </c>
      <c r="D18" s="52">
        <f>IF($B$5="Bottom-up",'Bottom-Up'!D26,'Top-Down'!D44)</f>
        <v>0</v>
      </c>
      <c r="E18" s="52">
        <f>IF($B$5="Bottom-up",'Bottom-Up'!E26,'Top-Down'!E44)</f>
        <v>0</v>
      </c>
      <c r="F18" s="52">
        <f>IF($B$5="Bottom-up",'Bottom-Up'!F26,'Top-Down'!F44)</f>
        <v>0</v>
      </c>
      <c r="G18" s="52">
        <f>IF($B$5="Bottom-up",'Bottom-Up'!G26,'Top-Down'!G44)</f>
        <v>0</v>
      </c>
      <c r="H18" s="52">
        <f>IF($B$5="Bottom-up",'Bottom-Up'!H26,'Top-Down'!H44)</f>
        <v>0</v>
      </c>
      <c r="I18" s="123">
        <f>IF($B$5="Bottom-up",'Bottom-Up'!I26,'Top-Down'!I44)</f>
        <v>0</v>
      </c>
      <c r="J18" s="243"/>
      <c r="K18" s="122">
        <f>IF($B$5="Bottom-up",'Bottom-Up'!K26,'Top-Down'!K44)</f>
        <v>0</v>
      </c>
      <c r="L18" s="52">
        <f>IF($B$5="Bottom-up",'Bottom-Up'!L26,'Top-Down'!L44)</f>
        <v>0</v>
      </c>
      <c r="M18" s="52">
        <f>IF($B$5="Bottom-up",'Bottom-Up'!M26,'Top-Down'!M44)</f>
        <v>0</v>
      </c>
      <c r="N18" s="123">
        <f>IF($B$5="Bottom-up",'Bottom-Up'!N26,'Top-Down'!N44)</f>
        <v>0</v>
      </c>
      <c r="O18" s="32"/>
      <c r="P18" s="163"/>
      <c r="Q18" s="27"/>
      <c r="R18" s="27"/>
      <c r="S18" s="27"/>
      <c r="T18" s="27"/>
      <c r="U18" s="27"/>
      <c r="V18" s="27"/>
      <c r="W18" s="27"/>
      <c r="X18" s="164"/>
    </row>
    <row r="19" spans="1:24" ht="15" customHeight="1" thickTop="1" x14ac:dyDescent="0.3">
      <c r="A19" s="85" t="s">
        <v>13</v>
      </c>
      <c r="B19" s="181">
        <f>SUM(B16:B18)</f>
        <v>0</v>
      </c>
      <c r="C19" s="182">
        <f t="shared" ref="C19:N19" si="2">SUM(C16:C18)</f>
        <v>0</v>
      </c>
      <c r="D19" s="182">
        <f t="shared" si="2"/>
        <v>0</v>
      </c>
      <c r="E19" s="182">
        <f t="shared" si="2"/>
        <v>0</v>
      </c>
      <c r="F19" s="182">
        <f t="shared" si="2"/>
        <v>0</v>
      </c>
      <c r="G19" s="182">
        <f t="shared" si="2"/>
        <v>0</v>
      </c>
      <c r="H19" s="182">
        <f t="shared" si="2"/>
        <v>0</v>
      </c>
      <c r="I19" s="183">
        <f t="shared" si="2"/>
        <v>0</v>
      </c>
      <c r="J19" s="243"/>
      <c r="K19" s="181">
        <f t="shared" si="2"/>
        <v>0</v>
      </c>
      <c r="L19" s="182">
        <f t="shared" si="2"/>
        <v>0</v>
      </c>
      <c r="M19" s="182">
        <f t="shared" si="2"/>
        <v>0</v>
      </c>
      <c r="N19" s="183">
        <f t="shared" si="2"/>
        <v>0</v>
      </c>
      <c r="O19" s="32"/>
      <c r="P19" s="163"/>
      <c r="Q19" s="27"/>
      <c r="R19" s="27"/>
      <c r="S19" s="27"/>
      <c r="T19" s="27"/>
      <c r="U19" s="27"/>
      <c r="V19" s="27"/>
      <c r="W19" s="27"/>
      <c r="X19" s="164"/>
    </row>
    <row r="20" spans="1:24" ht="15" customHeight="1" thickBot="1" x14ac:dyDescent="0.35">
      <c r="A20" s="27"/>
      <c r="B20" s="28"/>
      <c r="C20" s="34"/>
      <c r="D20" s="34"/>
      <c r="E20" s="34"/>
      <c r="F20" s="34"/>
      <c r="G20" s="34"/>
      <c r="H20" s="35"/>
      <c r="I20" s="35"/>
      <c r="J20" s="35"/>
      <c r="K20" s="35"/>
      <c r="L20" s="35"/>
      <c r="M20" s="35"/>
      <c r="N20" s="35"/>
      <c r="O20" s="32"/>
      <c r="P20" s="125"/>
      <c r="Q20" s="126"/>
      <c r="R20" s="126"/>
      <c r="S20" s="126"/>
      <c r="T20" s="126"/>
      <c r="U20" s="126"/>
      <c r="V20" s="126"/>
      <c r="W20" s="126"/>
      <c r="X20" s="127"/>
    </row>
    <row r="21" spans="1:24" ht="15" customHeight="1" thickTop="1" x14ac:dyDescent="0.3">
      <c r="A21" s="27"/>
      <c r="B21" s="28"/>
      <c r="C21" s="34"/>
      <c r="D21" s="34"/>
      <c r="E21" s="34"/>
      <c r="F21" s="34"/>
      <c r="G21" s="34"/>
      <c r="H21" s="35"/>
      <c r="I21" s="35"/>
      <c r="J21" s="35"/>
      <c r="K21" s="35"/>
      <c r="L21" s="35"/>
      <c r="M21" s="35"/>
      <c r="N21" s="35"/>
      <c r="O21" s="32"/>
      <c r="P21" s="221"/>
      <c r="Q21" s="222"/>
      <c r="R21" s="222"/>
      <c r="S21" s="222"/>
      <c r="T21" s="222"/>
      <c r="U21" s="222"/>
      <c r="V21" s="222"/>
      <c r="W21" s="222"/>
      <c r="X21" s="216"/>
    </row>
    <row r="22" spans="1:24" ht="17.399999999999999" x14ac:dyDescent="0.35">
      <c r="P22" s="163"/>
      <c r="Q22" s="218" t="s">
        <v>211</v>
      </c>
      <c r="R22" s="27"/>
      <c r="S22" s="27"/>
      <c r="T22" s="27"/>
      <c r="U22" s="27"/>
      <c r="V22" s="27"/>
      <c r="W22" s="27"/>
      <c r="X22" s="164"/>
    </row>
    <row r="23" spans="1:24" x14ac:dyDescent="0.3">
      <c r="K23" s="213"/>
      <c r="O23" s="32"/>
      <c r="P23" s="163"/>
      <c r="Q23" s="27"/>
      <c r="R23" s="27"/>
      <c r="S23" s="27"/>
      <c r="T23" s="27"/>
      <c r="U23" s="27"/>
      <c r="V23" s="27"/>
      <c r="W23" s="27"/>
      <c r="X23" s="164"/>
    </row>
    <row r="24" spans="1:24" s="61" customFormat="1" x14ac:dyDescent="0.3">
      <c r="P24" s="163"/>
      <c r="Q24" s="27"/>
      <c r="R24" s="351" t="s">
        <v>212</v>
      </c>
      <c r="S24" s="352"/>
      <c r="T24" s="352"/>
      <c r="U24" s="352"/>
      <c r="V24" s="352"/>
      <c r="W24" s="353"/>
      <c r="X24" s="164"/>
    </row>
    <row r="25" spans="1:24" x14ac:dyDescent="0.3">
      <c r="P25" s="163"/>
      <c r="Q25" s="27"/>
      <c r="R25" s="108" t="s">
        <v>205</v>
      </c>
      <c r="S25" s="109" t="s">
        <v>206</v>
      </c>
      <c r="T25" s="109" t="s">
        <v>145</v>
      </c>
      <c r="U25" s="109" t="s">
        <v>146</v>
      </c>
      <c r="V25" s="109" t="s">
        <v>147</v>
      </c>
      <c r="W25" s="110" t="s">
        <v>243</v>
      </c>
      <c r="X25" s="164"/>
    </row>
    <row r="26" spans="1:24" x14ac:dyDescent="0.3">
      <c r="P26" s="163"/>
      <c r="Q26" s="27"/>
      <c r="R26" s="104">
        <f>B15</f>
        <v>43921</v>
      </c>
      <c r="S26" s="60">
        <f>F15</f>
        <v>44285</v>
      </c>
      <c r="T26" s="60">
        <f>K15</f>
        <v>44650</v>
      </c>
      <c r="U26" s="60">
        <f t="shared" ref="U26" si="3">EDATE(T26,12)</f>
        <v>45015</v>
      </c>
      <c r="V26" s="60">
        <f t="shared" ref="V26" si="4">EDATE(U26,12)</f>
        <v>45381</v>
      </c>
      <c r="W26" s="107">
        <f t="shared" ref="W26" si="5">EDATE(V26,12)</f>
        <v>45746</v>
      </c>
      <c r="X26" s="164"/>
    </row>
    <row r="27" spans="1:24" x14ac:dyDescent="0.3">
      <c r="P27" s="163"/>
      <c r="Q27" s="223" t="str">
        <f>A16</f>
        <v>Product 1</v>
      </c>
      <c r="R27" s="105">
        <f>SUM(B16:E16)</f>
        <v>0</v>
      </c>
      <c r="S27" s="98">
        <f>SUM(F16:I16)</f>
        <v>0</v>
      </c>
      <c r="T27" s="98">
        <f>K16</f>
        <v>0</v>
      </c>
      <c r="U27" s="98">
        <f t="shared" ref="U27:W29" si="6">L16</f>
        <v>0</v>
      </c>
      <c r="V27" s="98">
        <f t="shared" si="6"/>
        <v>0</v>
      </c>
      <c r="W27" s="101">
        <f t="shared" si="6"/>
        <v>0</v>
      </c>
      <c r="X27" s="164"/>
    </row>
    <row r="28" spans="1:24" s="29" customFormat="1" x14ac:dyDescent="0.3">
      <c r="P28" s="163"/>
      <c r="Q28" s="223" t="str">
        <f>A17</f>
        <v>Product 2</v>
      </c>
      <c r="R28" s="105">
        <f>SUM(B17:E17)</f>
        <v>0</v>
      </c>
      <c r="S28" s="98">
        <f>SUM(F17:I17)</f>
        <v>0</v>
      </c>
      <c r="T28" s="98">
        <f>K17</f>
        <v>0</v>
      </c>
      <c r="U28" s="98">
        <f t="shared" si="6"/>
        <v>0</v>
      </c>
      <c r="V28" s="98">
        <f t="shared" si="6"/>
        <v>0</v>
      </c>
      <c r="W28" s="101">
        <f t="shared" si="6"/>
        <v>0</v>
      </c>
      <c r="X28" s="164"/>
    </row>
    <row r="29" spans="1:24" ht="15" thickBot="1" x14ac:dyDescent="0.3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163"/>
      <c r="Q29" s="223" t="str">
        <f>A18</f>
        <v>Product 3</v>
      </c>
      <c r="R29" s="106">
        <f>SUM(B18:E18)</f>
        <v>0</v>
      </c>
      <c r="S29" s="99">
        <f>SUM(F18:I18)</f>
        <v>0</v>
      </c>
      <c r="T29" s="99">
        <f>K18</f>
        <v>0</v>
      </c>
      <c r="U29" s="99">
        <f t="shared" si="6"/>
        <v>0</v>
      </c>
      <c r="V29" s="99">
        <f t="shared" si="6"/>
        <v>0</v>
      </c>
      <c r="W29" s="102">
        <f t="shared" si="6"/>
        <v>0</v>
      </c>
      <c r="X29" s="164"/>
    </row>
    <row r="30" spans="1:24" ht="15" thickTop="1" x14ac:dyDescent="0.3">
      <c r="P30" s="163"/>
      <c r="Q30" s="27"/>
      <c r="R30" s="86">
        <f t="shared" ref="R30:W30" si="7">SUM(R27:R29)</f>
        <v>0</v>
      </c>
      <c r="S30" s="86">
        <f t="shared" si="7"/>
        <v>0</v>
      </c>
      <c r="T30" s="86">
        <f t="shared" si="7"/>
        <v>0</v>
      </c>
      <c r="U30" s="86">
        <f t="shared" si="7"/>
        <v>0</v>
      </c>
      <c r="V30" s="86">
        <f t="shared" si="7"/>
        <v>0</v>
      </c>
      <c r="W30" s="118">
        <f t="shared" si="7"/>
        <v>0</v>
      </c>
      <c r="X30" s="164"/>
    </row>
    <row r="31" spans="1:24" x14ac:dyDescent="0.3">
      <c r="P31" s="163"/>
      <c r="Q31" s="27"/>
      <c r="R31" s="27"/>
      <c r="S31" s="27"/>
      <c r="T31" s="27"/>
      <c r="U31" s="27"/>
      <c r="V31" s="27"/>
      <c r="W31" s="27"/>
      <c r="X31" s="164"/>
    </row>
    <row r="32" spans="1:24" x14ac:dyDescent="0.3">
      <c r="P32" s="163"/>
      <c r="Q32" s="27"/>
      <c r="R32" s="27"/>
      <c r="S32" s="27"/>
      <c r="T32" s="27"/>
      <c r="U32" s="27"/>
      <c r="V32" s="27"/>
      <c r="W32" s="27"/>
      <c r="X32" s="164"/>
    </row>
    <row r="33" spans="16:24" x14ac:dyDescent="0.3">
      <c r="P33" s="163"/>
      <c r="Q33" s="27"/>
      <c r="R33" s="27"/>
      <c r="S33" s="27"/>
      <c r="T33" s="27"/>
      <c r="U33" s="27"/>
      <c r="V33" s="27"/>
      <c r="W33" s="27"/>
      <c r="X33" s="164"/>
    </row>
    <row r="34" spans="16:24" x14ac:dyDescent="0.3">
      <c r="P34" s="163"/>
      <c r="Q34" s="27"/>
      <c r="R34" s="27"/>
      <c r="S34" s="27"/>
      <c r="T34" s="27"/>
      <c r="U34" s="27"/>
      <c r="V34" s="27"/>
      <c r="W34" s="27"/>
      <c r="X34" s="164"/>
    </row>
    <row r="35" spans="16:24" x14ac:dyDescent="0.3">
      <c r="P35" s="163"/>
      <c r="Q35" s="27"/>
      <c r="R35" s="27"/>
      <c r="S35" s="27"/>
      <c r="T35" s="27"/>
      <c r="U35" s="27"/>
      <c r="V35" s="27"/>
      <c r="W35" s="27"/>
      <c r="X35" s="164"/>
    </row>
    <row r="36" spans="16:24" x14ac:dyDescent="0.3">
      <c r="P36" s="163"/>
      <c r="Q36" s="27"/>
      <c r="R36" s="27"/>
      <c r="S36" s="27"/>
      <c r="T36" s="27"/>
      <c r="U36" s="27"/>
      <c r="V36" s="27"/>
      <c r="W36" s="27"/>
      <c r="X36" s="164"/>
    </row>
    <row r="37" spans="16:24" x14ac:dyDescent="0.3">
      <c r="P37" s="163"/>
      <c r="Q37" s="27"/>
      <c r="R37" s="27"/>
      <c r="S37" s="27"/>
      <c r="T37" s="27"/>
      <c r="U37" s="27"/>
      <c r="V37" s="27"/>
      <c r="W37" s="27"/>
      <c r="X37" s="164"/>
    </row>
    <row r="38" spans="16:24" x14ac:dyDescent="0.3">
      <c r="P38" s="163"/>
      <c r="Q38" s="27"/>
      <c r="R38" s="27"/>
      <c r="S38" s="27"/>
      <c r="T38" s="27"/>
      <c r="U38" s="27"/>
      <c r="V38" s="27"/>
      <c r="W38" s="27"/>
      <c r="X38" s="164"/>
    </row>
    <row r="39" spans="16:24" x14ac:dyDescent="0.3">
      <c r="P39" s="163"/>
      <c r="Q39" s="27"/>
      <c r="R39" s="27"/>
      <c r="S39" s="27"/>
      <c r="T39" s="27"/>
      <c r="U39" s="27"/>
      <c r="V39" s="27"/>
      <c r="W39" s="27"/>
      <c r="X39" s="164"/>
    </row>
    <row r="40" spans="16:24" x14ac:dyDescent="0.3">
      <c r="P40" s="163"/>
      <c r="Q40" s="27"/>
      <c r="R40" s="27"/>
      <c r="S40" s="27"/>
      <c r="T40" s="27"/>
      <c r="U40" s="27"/>
      <c r="V40" s="27"/>
      <c r="W40" s="27"/>
      <c r="X40" s="164"/>
    </row>
    <row r="41" spans="16:24" x14ac:dyDescent="0.3">
      <c r="P41" s="163"/>
      <c r="Q41" s="27"/>
      <c r="R41" s="27"/>
      <c r="S41" s="27"/>
      <c r="T41" s="27"/>
      <c r="U41" s="27"/>
      <c r="V41" s="27"/>
      <c r="W41" s="27"/>
      <c r="X41" s="164"/>
    </row>
    <row r="42" spans="16:24" x14ac:dyDescent="0.3">
      <c r="P42" s="163"/>
      <c r="Q42" s="27"/>
      <c r="R42" s="27"/>
      <c r="S42" s="27"/>
      <c r="T42" s="27"/>
      <c r="U42" s="27"/>
      <c r="V42" s="27"/>
      <c r="W42" s="27"/>
      <c r="X42" s="164"/>
    </row>
    <row r="43" spans="16:24" x14ac:dyDescent="0.3">
      <c r="P43" s="163"/>
      <c r="Q43" s="27"/>
      <c r="R43" s="27"/>
      <c r="S43" s="27"/>
      <c r="T43" s="27"/>
      <c r="U43" s="27"/>
      <c r="V43" s="27"/>
      <c r="W43" s="27"/>
      <c r="X43" s="164"/>
    </row>
    <row r="44" spans="16:24" x14ac:dyDescent="0.3">
      <c r="P44" s="163"/>
      <c r="Q44" s="27"/>
      <c r="R44" s="27"/>
      <c r="S44" s="27"/>
      <c r="T44" s="27"/>
      <c r="U44" s="27"/>
      <c r="V44" s="27"/>
      <c r="W44" s="27"/>
      <c r="X44" s="164"/>
    </row>
    <row r="45" spans="16:24" x14ac:dyDescent="0.3">
      <c r="P45" s="163"/>
      <c r="Q45" s="27"/>
      <c r="R45" s="27"/>
      <c r="S45" s="27"/>
      <c r="T45" s="27"/>
      <c r="U45" s="27"/>
      <c r="V45" s="27"/>
      <c r="W45" s="27"/>
      <c r="X45" s="164"/>
    </row>
    <row r="46" spans="16:24" x14ac:dyDescent="0.3">
      <c r="P46" s="163"/>
      <c r="Q46" s="27"/>
      <c r="R46" s="27"/>
      <c r="S46" s="27"/>
      <c r="T46" s="27"/>
      <c r="U46" s="27"/>
      <c r="V46" s="27"/>
      <c r="W46" s="27"/>
      <c r="X46" s="164"/>
    </row>
    <row r="47" spans="16:24" x14ac:dyDescent="0.3">
      <c r="P47" s="163"/>
      <c r="Q47" s="27"/>
      <c r="R47" s="27"/>
      <c r="S47" s="27"/>
      <c r="T47" s="27"/>
      <c r="U47" s="27"/>
      <c r="V47" s="27"/>
      <c r="W47" s="27"/>
      <c r="X47" s="164"/>
    </row>
    <row r="48" spans="16:24" ht="15" thickBot="1" x14ac:dyDescent="0.35">
      <c r="P48" s="125"/>
      <c r="Q48" s="126"/>
      <c r="R48" s="126"/>
      <c r="S48" s="126"/>
      <c r="T48" s="126"/>
      <c r="U48" s="126"/>
      <c r="V48" s="126"/>
      <c r="W48" s="126"/>
      <c r="X48" s="127"/>
    </row>
    <row r="49" ht="15" thickTop="1" x14ac:dyDescent="0.3"/>
  </sheetData>
  <mergeCells count="5">
    <mergeCell ref="B13:I13"/>
    <mergeCell ref="K13:N13"/>
    <mergeCell ref="B14:E14"/>
    <mergeCell ref="F14:I14"/>
    <mergeCell ref="R24:W24"/>
  </mergeCells>
  <conditionalFormatting sqref="B19:I19 K19:N19">
    <cfRule type="cellIs" dxfId="104" priority="1" operator="lessThan">
      <formula>0</formula>
    </cfRule>
  </conditionalFormatting>
  <dataValidations count="1">
    <dataValidation type="list" allowBlank="1" showInputMessage="1" showErrorMessage="1" sqref="B5">
      <formula1>$B$8:$B$9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59999389629810485"/>
  </sheetPr>
  <dimension ref="A1:AD100"/>
  <sheetViews>
    <sheetView workbookViewId="0">
      <selection activeCell="A2" sqref="A2"/>
    </sheetView>
  </sheetViews>
  <sheetFormatPr defaultRowHeight="14.4" x14ac:dyDescent="0.3"/>
  <cols>
    <col min="1" max="1" width="20.21875" customWidth="1"/>
    <col min="2" max="2" width="13.5546875" customWidth="1"/>
    <col min="3" max="9" width="11.77734375" customWidth="1"/>
    <col min="10" max="10" width="10.5546875" customWidth="1"/>
    <col min="11" max="14" width="12.5546875" customWidth="1"/>
    <col min="15" max="15" width="10" customWidth="1"/>
    <col min="16" max="16" width="3.77734375" customWidth="1"/>
    <col min="17" max="23" width="14.44140625" customWidth="1"/>
    <col min="24" max="24" width="3.77734375" customWidth="1"/>
    <col min="27" max="27" width="10.5546875" bestFit="1" customWidth="1"/>
  </cols>
  <sheetData>
    <row r="1" spans="1:24" ht="24.6" thickTop="1" thickBot="1" x14ac:dyDescent="0.5">
      <c r="A1" s="38" t="s">
        <v>38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224" t="str">
        <f>CompanyName &amp;" COGS Forecast - Top-down"</f>
        <v>WorkHorse COGS Forecast - Top-down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"COGS ("&amp;SubHeader&amp;")"</f>
        <v>COGS (USD)</v>
      </c>
      <c r="B2" s="97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97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x14ac:dyDescent="0.3">
      <c r="A4" t="s">
        <v>52</v>
      </c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s="47" customFormat="1" ht="15.6" x14ac:dyDescent="0.3">
      <c r="A5"/>
      <c r="B5" t="s">
        <v>49</v>
      </c>
      <c r="O5" s="46"/>
      <c r="P5" s="219"/>
      <c r="Q5" s="45"/>
      <c r="R5" s="45"/>
      <c r="S5" s="45"/>
      <c r="T5" s="45"/>
      <c r="U5" s="45"/>
      <c r="V5" s="45"/>
      <c r="W5" s="45"/>
      <c r="X5" s="220"/>
    </row>
    <row r="6" spans="1:24" x14ac:dyDescent="0.3">
      <c r="B6" t="s">
        <v>50</v>
      </c>
      <c r="I6" s="239"/>
      <c r="J6" s="239"/>
      <c r="K6" s="239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x14ac:dyDescent="0.3"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ht="19.8" x14ac:dyDescent="0.4">
      <c r="A8" s="41" t="s">
        <v>41</v>
      </c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9.8" x14ac:dyDescent="0.4">
      <c r="A9" s="41"/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ht="17.399999999999999" x14ac:dyDescent="0.35">
      <c r="A10" s="214" t="s">
        <v>159</v>
      </c>
      <c r="B10" s="63"/>
      <c r="C10" s="64"/>
      <c r="D10" s="64"/>
      <c r="E10" s="64"/>
      <c r="F10" s="63"/>
      <c r="G10" s="64"/>
      <c r="H10" s="54"/>
      <c r="I10" s="54"/>
      <c r="J10" s="242"/>
      <c r="K10" s="63"/>
      <c r="L10" s="54"/>
      <c r="M10" s="54"/>
      <c r="N10" s="54"/>
      <c r="O10" s="32"/>
      <c r="P10" s="217"/>
      <c r="Q10" s="27"/>
      <c r="R10" s="27"/>
      <c r="S10" s="27"/>
      <c r="T10" s="27"/>
      <c r="U10" s="27"/>
      <c r="V10" s="27"/>
      <c r="W10" s="27"/>
      <c r="X10" s="164"/>
    </row>
    <row r="11" spans="1:24" ht="17.399999999999999" x14ac:dyDescent="0.35">
      <c r="A11" s="214"/>
      <c r="B11" s="113" t="s">
        <v>285</v>
      </c>
      <c r="C11" s="358" t="s">
        <v>18</v>
      </c>
      <c r="D11" s="358"/>
      <c r="E11" s="359"/>
      <c r="F11" s="113" t="s">
        <v>286</v>
      </c>
      <c r="G11" s="358" t="s">
        <v>18</v>
      </c>
      <c r="H11" s="358"/>
      <c r="I11" s="359"/>
      <c r="J11" s="113" t="str">
        <f>'Bottom-Up'!J5</f>
        <v>Product 3</v>
      </c>
      <c r="K11" s="358" t="s">
        <v>18</v>
      </c>
      <c r="L11" s="358"/>
      <c r="M11" s="359"/>
      <c r="O11" s="32"/>
      <c r="P11" s="217"/>
      <c r="Q11" s="27"/>
      <c r="R11" s="27"/>
      <c r="S11" s="27"/>
      <c r="T11" s="27"/>
      <c r="U11" s="27"/>
      <c r="V11" s="27"/>
      <c r="W11" s="27"/>
      <c r="X11" s="164"/>
    </row>
    <row r="12" spans="1:24" x14ac:dyDescent="0.3">
      <c r="A12" s="65" t="s">
        <v>42</v>
      </c>
      <c r="B12" s="286">
        <v>0</v>
      </c>
      <c r="C12" s="365" t="s">
        <v>224</v>
      </c>
      <c r="D12" s="365"/>
      <c r="E12" s="366"/>
      <c r="F12" s="286">
        <v>0</v>
      </c>
      <c r="G12" s="365" t="s">
        <v>224</v>
      </c>
      <c r="H12" s="365"/>
      <c r="I12" s="366"/>
      <c r="J12" s="286"/>
      <c r="K12" s="365"/>
      <c r="L12" s="365"/>
      <c r="M12" s="366"/>
      <c r="O12" s="32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ht="19.8" x14ac:dyDescent="0.4">
      <c r="A13" s="41"/>
      <c r="O13" s="32"/>
      <c r="P13" s="217"/>
      <c r="Q13" s="27"/>
      <c r="R13" s="27"/>
      <c r="S13" s="27"/>
      <c r="T13" s="27"/>
      <c r="U13" s="27"/>
      <c r="V13" s="27"/>
      <c r="W13" s="27"/>
      <c r="X13" s="164"/>
    </row>
    <row r="14" spans="1:24" ht="17.399999999999999" x14ac:dyDescent="0.35">
      <c r="A14" s="214" t="s">
        <v>208</v>
      </c>
      <c r="O14" s="32"/>
      <c r="P14" s="217"/>
      <c r="Q14" s="27"/>
      <c r="R14" s="27"/>
      <c r="S14" s="27"/>
      <c r="T14" s="27"/>
      <c r="U14" s="27"/>
      <c r="V14" s="27"/>
      <c r="W14" s="27"/>
      <c r="X14" s="164"/>
    </row>
    <row r="15" spans="1:24" x14ac:dyDescent="0.3">
      <c r="A15" s="36"/>
      <c r="B15" s="343" t="s">
        <v>155</v>
      </c>
      <c r="C15" s="344"/>
      <c r="D15" s="344"/>
      <c r="E15" s="344"/>
      <c r="F15" s="344"/>
      <c r="G15" s="344"/>
      <c r="H15" s="344"/>
      <c r="I15" s="345"/>
      <c r="J15" s="243"/>
      <c r="K15" s="351" t="s">
        <v>156</v>
      </c>
      <c r="L15" s="352"/>
      <c r="M15" s="352"/>
      <c r="N15" s="353"/>
      <c r="O15" s="32"/>
      <c r="P15" s="217"/>
      <c r="Q15" s="27"/>
      <c r="R15" s="27"/>
      <c r="S15" s="27"/>
      <c r="T15" s="27"/>
      <c r="U15" s="27"/>
      <c r="V15" s="27"/>
      <c r="W15" s="27"/>
      <c r="X15" s="164"/>
    </row>
    <row r="16" spans="1:24" x14ac:dyDescent="0.3">
      <c r="A16" s="36"/>
      <c r="B16" s="346" t="s">
        <v>205</v>
      </c>
      <c r="C16" s="347"/>
      <c r="D16" s="347"/>
      <c r="E16" s="348"/>
      <c r="F16" s="349" t="s">
        <v>206</v>
      </c>
      <c r="G16" s="347"/>
      <c r="H16" s="347"/>
      <c r="I16" s="350"/>
      <c r="J16" s="243"/>
      <c r="K16" s="108" t="s">
        <v>145</v>
      </c>
      <c r="L16" s="109" t="s">
        <v>146</v>
      </c>
      <c r="M16" s="109" t="s">
        <v>147</v>
      </c>
      <c r="N16" s="110" t="s">
        <v>243</v>
      </c>
      <c r="O16" s="32"/>
      <c r="P16" s="163"/>
      <c r="Q16" s="27"/>
      <c r="R16" s="27"/>
      <c r="S16" s="27"/>
      <c r="T16" s="27"/>
      <c r="U16" s="27"/>
      <c r="V16" s="27"/>
      <c r="W16" s="27"/>
      <c r="X16" s="164"/>
    </row>
    <row r="17" spans="1:24" x14ac:dyDescent="0.3">
      <c r="A17" s="59"/>
      <c r="B17" s="104">
        <f>StartDate</f>
        <v>43921</v>
      </c>
      <c r="C17" s="60">
        <f>EDATE(B17,3)</f>
        <v>44012</v>
      </c>
      <c r="D17" s="60">
        <f t="shared" ref="D17" si="0">EDATE(C17,3)</f>
        <v>44104</v>
      </c>
      <c r="E17" s="60">
        <f t="shared" ref="E17" si="1">EDATE(D17,3)</f>
        <v>44195</v>
      </c>
      <c r="F17" s="60">
        <f t="shared" ref="F17" si="2">EDATE(E17,3)</f>
        <v>44285</v>
      </c>
      <c r="G17" s="60">
        <f t="shared" ref="G17" si="3">EDATE(F17,3)</f>
        <v>44377</v>
      </c>
      <c r="H17" s="60">
        <f t="shared" ref="H17" si="4">EDATE(G17,3)</f>
        <v>44469</v>
      </c>
      <c r="I17" s="100">
        <f t="shared" ref="I17" si="5">EDATE(H17,3)</f>
        <v>44560</v>
      </c>
      <c r="J17" s="243"/>
      <c r="K17" s="104">
        <f>EDATE(I17,3)</f>
        <v>44650</v>
      </c>
      <c r="L17" s="60">
        <f t="shared" ref="L17" si="6">EDATE(K17,12)</f>
        <v>45015</v>
      </c>
      <c r="M17" s="60">
        <f t="shared" ref="M17:N17" si="7">EDATE(L17,12)</f>
        <v>45381</v>
      </c>
      <c r="N17" s="107">
        <f t="shared" si="7"/>
        <v>45746</v>
      </c>
      <c r="O17" s="32"/>
      <c r="P17" s="163"/>
      <c r="Q17" s="27"/>
      <c r="R17" s="27"/>
      <c r="S17" s="27"/>
      <c r="T17" s="27"/>
      <c r="U17" s="27"/>
      <c r="V17" s="27"/>
      <c r="W17" s="27"/>
      <c r="X17" s="164"/>
    </row>
    <row r="18" spans="1:24" x14ac:dyDescent="0.3">
      <c r="A18" s="42" t="str">
        <f>B27</f>
        <v>Product 1</v>
      </c>
      <c r="B18" s="120">
        <f>Revenues!B16*(1-COGS!$B$12)</f>
        <v>0</v>
      </c>
      <c r="C18" s="51">
        <f>Revenues!C16*(1-COGS!$B$12)</f>
        <v>0</v>
      </c>
      <c r="D18" s="51">
        <f>Revenues!D16*(1-COGS!$B$12)</f>
        <v>0</v>
      </c>
      <c r="E18" s="51">
        <f>Revenues!E16*(1-COGS!$B$12)</f>
        <v>0</v>
      </c>
      <c r="F18" s="51">
        <f>Revenues!F16*(1-COGS!$B$12)</f>
        <v>0</v>
      </c>
      <c r="G18" s="51">
        <f>Revenues!G16*(1-COGS!$B$12)</f>
        <v>0</v>
      </c>
      <c r="H18" s="51">
        <f>Revenues!H16*(1-COGS!$B$12)</f>
        <v>0</v>
      </c>
      <c r="I18" s="121">
        <f>Revenues!I16*(1-COGS!$B$12)</f>
        <v>0</v>
      </c>
      <c r="J18" s="243"/>
      <c r="K18" s="120">
        <f>Revenues!K16*(1-COGS!$B$12)</f>
        <v>0</v>
      </c>
      <c r="L18" s="51">
        <f>Revenues!L16*(1-COGS!$B$12)</f>
        <v>0</v>
      </c>
      <c r="M18" s="51">
        <f>Revenues!M16*(1-COGS!$B$12)</f>
        <v>0</v>
      </c>
      <c r="N18" s="121">
        <f>Revenues!N16*(1-COGS!$B$12)</f>
        <v>0</v>
      </c>
      <c r="O18" s="32"/>
      <c r="P18" s="163"/>
      <c r="Q18" s="27"/>
      <c r="R18" s="27"/>
      <c r="S18" s="27"/>
      <c r="T18" s="27"/>
      <c r="U18" s="27"/>
      <c r="V18" s="27"/>
      <c r="W18" s="27"/>
      <c r="X18" s="164"/>
    </row>
    <row r="19" spans="1:24" x14ac:dyDescent="0.3">
      <c r="A19" s="42" t="str">
        <f>F27</f>
        <v>Product 2</v>
      </c>
      <c r="B19" s="120">
        <f>Revenues!B17*(1-COGS!$F$12)</f>
        <v>0</v>
      </c>
      <c r="C19" s="51">
        <f>Revenues!C17*(1-COGS!$F$12)</f>
        <v>0</v>
      </c>
      <c r="D19" s="51">
        <f>Revenues!D17*(1-COGS!$F$12)</f>
        <v>0</v>
      </c>
      <c r="E19" s="51">
        <f>Revenues!E17*(1-COGS!$F$12)</f>
        <v>0</v>
      </c>
      <c r="F19" s="51">
        <f>Revenues!F17*(1-COGS!$F$12)</f>
        <v>0</v>
      </c>
      <c r="G19" s="51">
        <f>Revenues!G17*(1-COGS!$F$12)</f>
        <v>0</v>
      </c>
      <c r="H19" s="51">
        <f>Revenues!H17*(1-COGS!$F$12)</f>
        <v>0</v>
      </c>
      <c r="I19" s="121">
        <f>Revenues!I17*(1-COGS!$F$12)</f>
        <v>0</v>
      </c>
      <c r="J19" s="243"/>
      <c r="K19" s="120">
        <f>Revenues!K17*(1-COGS!$F$12)</f>
        <v>0</v>
      </c>
      <c r="L19" s="51">
        <f>Revenues!L17*(1-COGS!$F$12)</f>
        <v>0</v>
      </c>
      <c r="M19" s="51">
        <f>Revenues!M17*(1-COGS!$F$12)</f>
        <v>0</v>
      </c>
      <c r="N19" s="121">
        <f>Revenues!N17*(1-COGS!$F$12)</f>
        <v>0</v>
      </c>
      <c r="O19" s="32"/>
      <c r="P19" s="163"/>
      <c r="Q19" s="27"/>
      <c r="R19" s="27"/>
      <c r="S19" s="27"/>
      <c r="T19" s="27"/>
      <c r="U19" s="27"/>
      <c r="V19" s="27"/>
      <c r="W19" s="27"/>
      <c r="X19" s="164"/>
    </row>
    <row r="20" spans="1:24" ht="15" thickBot="1" x14ac:dyDescent="0.35">
      <c r="A20" s="43" t="str">
        <f>J27</f>
        <v>Product 3</v>
      </c>
      <c r="B20" s="122">
        <f>Revenues!B18*(1-COGS!$J$12)</f>
        <v>0</v>
      </c>
      <c r="C20" s="52">
        <f>Revenues!C18*(1-COGS!$J$12)</f>
        <v>0</v>
      </c>
      <c r="D20" s="52">
        <f>Revenues!D18*(1-COGS!$J$12)</f>
        <v>0</v>
      </c>
      <c r="E20" s="52">
        <f>Revenues!E18*(1-COGS!$J$12)</f>
        <v>0</v>
      </c>
      <c r="F20" s="52">
        <f>Revenues!F18*(1-COGS!$J$12)</f>
        <v>0</v>
      </c>
      <c r="G20" s="52">
        <f>Revenues!G18*(1-COGS!$J$12)</f>
        <v>0</v>
      </c>
      <c r="H20" s="52">
        <f>Revenues!H18*(1-COGS!$J$12)</f>
        <v>0</v>
      </c>
      <c r="I20" s="123">
        <f>Revenues!I18*(1-COGS!$J$12)</f>
        <v>0</v>
      </c>
      <c r="J20" s="243"/>
      <c r="K20" s="122">
        <f>Revenues!K18*(1-COGS!$J$12)</f>
        <v>0</v>
      </c>
      <c r="L20" s="52">
        <f>Revenues!L18*(1-COGS!$J$12)</f>
        <v>0</v>
      </c>
      <c r="M20" s="52">
        <f>Revenues!M18*(1-COGS!$J$12)</f>
        <v>0</v>
      </c>
      <c r="N20" s="123">
        <f>Revenues!N18*(1-COGS!$J$12)</f>
        <v>0</v>
      </c>
      <c r="O20" s="32"/>
      <c r="P20" s="125"/>
      <c r="Q20" s="126"/>
      <c r="R20" s="126"/>
      <c r="S20" s="126"/>
      <c r="T20" s="126"/>
      <c r="U20" s="126"/>
      <c r="V20" s="126"/>
      <c r="W20" s="126"/>
      <c r="X20" s="127"/>
    </row>
    <row r="21" spans="1:24" ht="15" thickTop="1" x14ac:dyDescent="0.3">
      <c r="A21" s="44" t="s">
        <v>13</v>
      </c>
      <c r="B21" s="124">
        <f>SUM(B18:B20)</f>
        <v>0</v>
      </c>
      <c r="C21" s="53">
        <f t="shared" ref="C21:N21" si="8">SUM(C18:C20)</f>
        <v>0</v>
      </c>
      <c r="D21" s="53">
        <f t="shared" si="8"/>
        <v>0</v>
      </c>
      <c r="E21" s="53">
        <f t="shared" si="8"/>
        <v>0</v>
      </c>
      <c r="F21" s="53">
        <f t="shared" si="8"/>
        <v>0</v>
      </c>
      <c r="G21" s="53">
        <f t="shared" si="8"/>
        <v>0</v>
      </c>
      <c r="H21" s="53">
        <f t="shared" si="8"/>
        <v>0</v>
      </c>
      <c r="I21" s="103">
        <f t="shared" si="8"/>
        <v>0</v>
      </c>
      <c r="J21" s="243"/>
      <c r="K21" s="124">
        <f t="shared" si="8"/>
        <v>0</v>
      </c>
      <c r="L21" s="53">
        <f t="shared" si="8"/>
        <v>0</v>
      </c>
      <c r="M21" s="53">
        <f t="shared" si="8"/>
        <v>0</v>
      </c>
      <c r="N21" s="103">
        <f t="shared" si="8"/>
        <v>0</v>
      </c>
      <c r="O21" s="32"/>
      <c r="P21" s="221"/>
      <c r="Q21" s="222"/>
      <c r="R21" s="222"/>
      <c r="S21" s="222"/>
      <c r="T21" s="222"/>
      <c r="U21" s="222"/>
      <c r="V21" s="222"/>
      <c r="W21" s="222"/>
      <c r="X21" s="216"/>
    </row>
    <row r="22" spans="1:24" ht="17.399999999999999" x14ac:dyDescent="0.35">
      <c r="O22" s="32"/>
      <c r="P22" s="163"/>
      <c r="Q22" s="218" t="s">
        <v>211</v>
      </c>
      <c r="R22" s="27"/>
      <c r="S22" s="27"/>
      <c r="T22" s="27"/>
      <c r="U22" s="27"/>
      <c r="V22" s="27"/>
      <c r="W22" s="27"/>
      <c r="X22" s="164"/>
    </row>
    <row r="23" spans="1:24" ht="15" customHeight="1" x14ac:dyDescent="0.3">
      <c r="I23" s="241"/>
      <c r="J23" s="241"/>
      <c r="O23" s="32"/>
      <c r="P23" s="163"/>
      <c r="X23" s="164"/>
    </row>
    <row r="24" spans="1:24" ht="19.8" x14ac:dyDescent="0.4">
      <c r="A24" s="41" t="s">
        <v>40</v>
      </c>
      <c r="O24" s="32"/>
      <c r="P24" s="163"/>
      <c r="R24" s="351" t="s">
        <v>212</v>
      </c>
      <c r="S24" s="352"/>
      <c r="T24" s="352"/>
      <c r="U24" s="352"/>
      <c r="V24" s="352"/>
      <c r="W24" s="353"/>
      <c r="X24" s="164"/>
    </row>
    <row r="25" spans="1:24" ht="14.25" customHeight="1" x14ac:dyDescent="0.4">
      <c r="A25" s="41"/>
      <c r="O25" s="32"/>
      <c r="P25" s="163"/>
      <c r="R25" s="108" t="s">
        <v>205</v>
      </c>
      <c r="S25" s="109" t="s">
        <v>206</v>
      </c>
      <c r="T25" s="109" t="s">
        <v>145</v>
      </c>
      <c r="U25" s="109" t="s">
        <v>146</v>
      </c>
      <c r="V25" s="109" t="s">
        <v>147</v>
      </c>
      <c r="W25" s="110" t="s">
        <v>243</v>
      </c>
      <c r="X25" s="164"/>
    </row>
    <row r="26" spans="1:24" ht="17.55" customHeight="1" x14ac:dyDescent="0.35">
      <c r="A26" s="214" t="str">
        <f>"Bottom-up Assumptions - Unit Costs to Manufacture (in "&amp;SubHeader&amp;")"</f>
        <v>Bottom-up Assumptions - Unit Costs to Manufacture (in USD)</v>
      </c>
      <c r="B26" s="28"/>
      <c r="C26" s="34"/>
      <c r="D26" s="34"/>
      <c r="E26" s="34"/>
      <c r="F26" s="34"/>
      <c r="G26" s="34"/>
      <c r="H26" s="35"/>
      <c r="I26" s="35"/>
      <c r="J26" s="35"/>
      <c r="K26" s="35"/>
      <c r="L26" s="35"/>
      <c r="M26" s="35"/>
      <c r="N26" s="35"/>
      <c r="O26" s="32"/>
      <c r="P26" s="163"/>
      <c r="R26" s="104">
        <f>B17</f>
        <v>43921</v>
      </c>
      <c r="S26" s="60">
        <f>F17</f>
        <v>44285</v>
      </c>
      <c r="T26" s="60">
        <f>K17</f>
        <v>44650</v>
      </c>
      <c r="U26" s="60">
        <f t="shared" ref="U26:W26" si="9">EDATE(T26,12)</f>
        <v>45015</v>
      </c>
      <c r="V26" s="60">
        <f t="shared" si="9"/>
        <v>45381</v>
      </c>
      <c r="W26" s="107">
        <f t="shared" si="9"/>
        <v>45746</v>
      </c>
      <c r="X26" s="164"/>
    </row>
    <row r="27" spans="1:24" ht="15.6" customHeight="1" x14ac:dyDescent="0.3">
      <c r="A27" s="45"/>
      <c r="B27" s="113" t="str">
        <f>B11</f>
        <v>Product 1</v>
      </c>
      <c r="C27" s="358" t="s">
        <v>18</v>
      </c>
      <c r="D27" s="358"/>
      <c r="E27" s="359"/>
      <c r="F27" s="113" t="str">
        <f>F11</f>
        <v>Product 2</v>
      </c>
      <c r="G27" s="358" t="s">
        <v>18</v>
      </c>
      <c r="H27" s="358"/>
      <c r="I27" s="359"/>
      <c r="J27" s="113" t="str">
        <f>J11</f>
        <v>Product 3</v>
      </c>
      <c r="K27" s="358" t="s">
        <v>18</v>
      </c>
      <c r="L27" s="358"/>
      <c r="M27" s="359"/>
      <c r="O27" s="32"/>
      <c r="P27" s="163"/>
      <c r="Q27" s="212" t="str">
        <f>A18</f>
        <v>Product 1</v>
      </c>
      <c r="R27" s="105">
        <f>SUM(B18:E18)</f>
        <v>0</v>
      </c>
      <c r="S27" s="98">
        <f>SUM(F18:I18)</f>
        <v>0</v>
      </c>
      <c r="T27" s="98">
        <f t="shared" ref="T27:W27" si="10">K18</f>
        <v>0</v>
      </c>
      <c r="U27" s="98">
        <f t="shared" si="10"/>
        <v>0</v>
      </c>
      <c r="V27" s="98">
        <f t="shared" si="10"/>
        <v>0</v>
      </c>
      <c r="W27" s="101">
        <f t="shared" si="10"/>
        <v>0</v>
      </c>
      <c r="X27" s="164"/>
    </row>
    <row r="28" spans="1:24" x14ac:dyDescent="0.3">
      <c r="A28" s="48" t="s">
        <v>31</v>
      </c>
      <c r="B28" s="288">
        <v>0</v>
      </c>
      <c r="C28" s="363"/>
      <c r="D28" s="363"/>
      <c r="E28" s="364"/>
      <c r="F28" s="288">
        <v>0</v>
      </c>
      <c r="G28" s="363"/>
      <c r="H28" s="363"/>
      <c r="I28" s="364"/>
      <c r="J28" s="288"/>
      <c r="K28" s="363"/>
      <c r="L28" s="363"/>
      <c r="M28" s="364"/>
      <c r="O28" s="32"/>
      <c r="P28" s="163"/>
      <c r="Q28" s="212" t="str">
        <f>A19</f>
        <v>Product 2</v>
      </c>
      <c r="R28" s="105">
        <f t="shared" ref="R28:R29" si="11">SUM(B19:E19)</f>
        <v>0</v>
      </c>
      <c r="S28" s="98">
        <f t="shared" ref="S28:S29" si="12">SUM(F19:I19)</f>
        <v>0</v>
      </c>
      <c r="T28" s="98">
        <f t="shared" ref="T28:W28" si="13">K19</f>
        <v>0</v>
      </c>
      <c r="U28" s="98">
        <f t="shared" si="13"/>
        <v>0</v>
      </c>
      <c r="V28" s="98">
        <f t="shared" si="13"/>
        <v>0</v>
      </c>
      <c r="W28" s="101">
        <f t="shared" si="13"/>
        <v>0</v>
      </c>
      <c r="X28" s="164"/>
    </row>
    <row r="29" spans="1:24" ht="15" thickBot="1" x14ac:dyDescent="0.35">
      <c r="A29" s="49" t="s">
        <v>32</v>
      </c>
      <c r="B29" s="288">
        <v>0</v>
      </c>
      <c r="C29" s="356"/>
      <c r="D29" s="356"/>
      <c r="E29" s="357"/>
      <c r="F29" s="288">
        <v>0</v>
      </c>
      <c r="G29" s="356"/>
      <c r="H29" s="356"/>
      <c r="I29" s="357"/>
      <c r="J29" s="288"/>
      <c r="K29" s="356"/>
      <c r="L29" s="356"/>
      <c r="M29" s="357"/>
      <c r="P29" s="163"/>
      <c r="Q29" s="212" t="str">
        <f>A20</f>
        <v>Product 3</v>
      </c>
      <c r="R29" s="106">
        <f t="shared" si="11"/>
        <v>0</v>
      </c>
      <c r="S29" s="99">
        <f t="shared" si="12"/>
        <v>0</v>
      </c>
      <c r="T29" s="99">
        <f t="shared" ref="T29:W29" si="14">K20</f>
        <v>0</v>
      </c>
      <c r="U29" s="99">
        <f t="shared" si="14"/>
        <v>0</v>
      </c>
      <c r="V29" s="99">
        <f t="shared" si="14"/>
        <v>0</v>
      </c>
      <c r="W29" s="102">
        <f t="shared" si="14"/>
        <v>0</v>
      </c>
      <c r="X29" s="164"/>
    </row>
    <row r="30" spans="1:24" ht="14.25" customHeight="1" thickTop="1" x14ac:dyDescent="0.3">
      <c r="A30" s="49" t="s">
        <v>33</v>
      </c>
      <c r="B30" s="288">
        <v>0</v>
      </c>
      <c r="C30" s="356"/>
      <c r="D30" s="356"/>
      <c r="E30" s="357"/>
      <c r="F30" s="288">
        <v>0</v>
      </c>
      <c r="G30" s="356"/>
      <c r="H30" s="356"/>
      <c r="I30" s="357"/>
      <c r="J30" s="288"/>
      <c r="K30" s="356"/>
      <c r="L30" s="356"/>
      <c r="M30" s="357"/>
      <c r="P30" s="163"/>
      <c r="R30" s="86">
        <f t="shared" ref="R30:W30" si="15">SUM(R27:R29)</f>
        <v>0</v>
      </c>
      <c r="S30" s="86">
        <f t="shared" si="15"/>
        <v>0</v>
      </c>
      <c r="T30" s="86">
        <f t="shared" si="15"/>
        <v>0</v>
      </c>
      <c r="U30" s="86">
        <f t="shared" si="15"/>
        <v>0</v>
      </c>
      <c r="V30" s="86">
        <f t="shared" si="15"/>
        <v>0</v>
      </c>
      <c r="W30" s="118">
        <f t="shared" si="15"/>
        <v>0</v>
      </c>
      <c r="X30" s="164"/>
    </row>
    <row r="31" spans="1:24" x14ac:dyDescent="0.3">
      <c r="A31" s="49" t="s">
        <v>34</v>
      </c>
      <c r="B31" s="288">
        <v>0</v>
      </c>
      <c r="C31" s="356"/>
      <c r="D31" s="356"/>
      <c r="E31" s="357"/>
      <c r="F31" s="288">
        <v>0</v>
      </c>
      <c r="G31" s="356"/>
      <c r="H31" s="356"/>
      <c r="I31" s="357"/>
      <c r="J31" s="288"/>
      <c r="K31" s="356"/>
      <c r="L31" s="356"/>
      <c r="M31" s="357"/>
      <c r="P31" s="163"/>
      <c r="Q31" s="27"/>
      <c r="R31" s="27"/>
      <c r="S31" s="27"/>
      <c r="T31" s="27"/>
      <c r="U31" s="27"/>
      <c r="V31" s="27"/>
      <c r="W31" s="27"/>
      <c r="X31" s="164"/>
    </row>
    <row r="32" spans="1:24" ht="14.25" customHeight="1" x14ac:dyDescent="0.3">
      <c r="A32" s="49" t="s">
        <v>35</v>
      </c>
      <c r="B32" s="288">
        <v>0</v>
      </c>
      <c r="C32" s="356"/>
      <c r="D32" s="356"/>
      <c r="E32" s="357"/>
      <c r="F32" s="288">
        <v>0</v>
      </c>
      <c r="G32" s="356"/>
      <c r="H32" s="356"/>
      <c r="I32" s="357"/>
      <c r="J32" s="288"/>
      <c r="K32" s="356"/>
      <c r="L32" s="356"/>
      <c r="M32" s="357"/>
      <c r="P32" s="163"/>
      <c r="Q32" s="27"/>
      <c r="R32" s="27"/>
      <c r="S32" s="27"/>
      <c r="T32" s="27"/>
      <c r="U32" s="27"/>
      <c r="V32" s="27"/>
      <c r="W32" s="27"/>
      <c r="X32" s="164"/>
    </row>
    <row r="33" spans="1:24" ht="14.25" customHeight="1" x14ac:dyDescent="0.3">
      <c r="A33" s="49" t="s">
        <v>36</v>
      </c>
      <c r="B33" s="288">
        <v>0</v>
      </c>
      <c r="C33" s="356"/>
      <c r="D33" s="356"/>
      <c r="E33" s="357"/>
      <c r="F33" s="288">
        <v>0</v>
      </c>
      <c r="G33" s="356"/>
      <c r="H33" s="356"/>
      <c r="I33" s="357"/>
      <c r="J33" s="288"/>
      <c r="K33" s="356"/>
      <c r="L33" s="356"/>
      <c r="M33" s="357"/>
      <c r="P33" s="163"/>
      <c r="Q33" s="27"/>
      <c r="R33" s="27"/>
      <c r="S33" s="27"/>
      <c r="T33" s="27"/>
      <c r="U33" s="27"/>
      <c r="V33" s="27"/>
      <c r="W33" s="27"/>
      <c r="X33" s="164"/>
    </row>
    <row r="34" spans="1:24" x14ac:dyDescent="0.3">
      <c r="A34" s="49" t="s">
        <v>36</v>
      </c>
      <c r="B34" s="289">
        <v>0</v>
      </c>
      <c r="C34" s="356"/>
      <c r="D34" s="356"/>
      <c r="E34" s="357"/>
      <c r="F34" s="289">
        <v>0</v>
      </c>
      <c r="G34" s="356"/>
      <c r="H34" s="356"/>
      <c r="I34" s="357"/>
      <c r="J34" s="289"/>
      <c r="K34" s="356"/>
      <c r="L34" s="356"/>
      <c r="M34" s="357"/>
      <c r="P34" s="163"/>
      <c r="Q34" s="27"/>
      <c r="R34" s="27"/>
      <c r="S34" s="27"/>
      <c r="T34" s="27"/>
      <c r="U34" s="27"/>
      <c r="V34" s="27"/>
      <c r="W34" s="27"/>
      <c r="X34" s="164"/>
    </row>
    <row r="35" spans="1:24" ht="14.25" customHeight="1" x14ac:dyDescent="0.3">
      <c r="A35" s="49" t="s">
        <v>25</v>
      </c>
      <c r="B35" s="289">
        <v>0</v>
      </c>
      <c r="C35" s="356"/>
      <c r="D35" s="356"/>
      <c r="E35" s="357"/>
      <c r="F35" s="289">
        <v>0</v>
      </c>
      <c r="G35" s="356"/>
      <c r="H35" s="356"/>
      <c r="I35" s="357"/>
      <c r="J35" s="289"/>
      <c r="K35" s="356"/>
      <c r="L35" s="356"/>
      <c r="M35" s="357"/>
      <c r="P35" s="163"/>
      <c r="Q35" s="27"/>
      <c r="R35" s="27"/>
      <c r="S35" s="27"/>
      <c r="T35" s="27"/>
      <c r="U35" s="27"/>
      <c r="V35" s="27"/>
      <c r="W35" s="27"/>
      <c r="X35" s="164"/>
    </row>
    <row r="36" spans="1:24" ht="14.25" customHeight="1" x14ac:dyDescent="0.3">
      <c r="A36" s="49" t="s">
        <v>26</v>
      </c>
      <c r="B36" s="289">
        <v>0</v>
      </c>
      <c r="C36" s="356"/>
      <c r="D36" s="356"/>
      <c r="E36" s="357"/>
      <c r="F36" s="289">
        <v>0</v>
      </c>
      <c r="G36" s="356"/>
      <c r="H36" s="356"/>
      <c r="I36" s="357"/>
      <c r="J36" s="289"/>
      <c r="K36" s="356"/>
      <c r="L36" s="356"/>
      <c r="M36" s="357"/>
      <c r="P36" s="163"/>
      <c r="Q36" s="27"/>
      <c r="R36" s="27"/>
      <c r="S36" s="27"/>
      <c r="T36" s="27"/>
      <c r="U36" s="27"/>
      <c r="V36" s="27"/>
      <c r="W36" s="27"/>
      <c r="X36" s="164"/>
    </row>
    <row r="37" spans="1:24" ht="14.25" customHeight="1" x14ac:dyDescent="0.3">
      <c r="A37" s="50" t="s">
        <v>37</v>
      </c>
      <c r="B37" s="290">
        <v>0</v>
      </c>
      <c r="C37" s="354"/>
      <c r="D37" s="354"/>
      <c r="E37" s="355"/>
      <c r="F37" s="290">
        <v>0</v>
      </c>
      <c r="G37" s="354"/>
      <c r="H37" s="354"/>
      <c r="I37" s="355"/>
      <c r="J37" s="290"/>
      <c r="K37" s="354"/>
      <c r="L37" s="354"/>
      <c r="M37" s="355"/>
      <c r="P37" s="163"/>
      <c r="Q37" s="27"/>
      <c r="R37" s="27"/>
      <c r="S37" s="27"/>
      <c r="T37" s="27"/>
      <c r="U37" s="27"/>
      <c r="V37" s="27"/>
      <c r="W37" s="27"/>
      <c r="X37" s="164"/>
    </row>
    <row r="38" spans="1:24" ht="14.25" customHeight="1" x14ac:dyDescent="0.3">
      <c r="A38" s="68" t="s">
        <v>39</v>
      </c>
      <c r="B38" s="63">
        <f>SUM(B28:B37)</f>
        <v>0</v>
      </c>
      <c r="C38" s="64"/>
      <c r="D38" s="64"/>
      <c r="E38" s="64"/>
      <c r="F38" s="63">
        <f>SUM(F28:F37)</f>
        <v>0</v>
      </c>
      <c r="G38" s="64"/>
      <c r="H38" s="211"/>
      <c r="I38" s="211"/>
      <c r="J38" s="63">
        <f>SUM(J28:J37)</f>
        <v>0</v>
      </c>
      <c r="K38" s="64"/>
      <c r="L38" s="242"/>
      <c r="M38" s="242"/>
      <c r="P38" s="163"/>
      <c r="Q38" s="27"/>
      <c r="R38" s="27"/>
      <c r="S38" s="27"/>
      <c r="T38" s="27"/>
      <c r="U38" s="27"/>
      <c r="V38" s="27"/>
      <c r="W38" s="27"/>
      <c r="X38" s="164"/>
    </row>
    <row r="39" spans="1:24" ht="14.25" customHeight="1" x14ac:dyDescent="0.3">
      <c r="A39" s="49"/>
      <c r="B39" s="63"/>
      <c r="C39" s="64"/>
      <c r="D39" s="64"/>
      <c r="E39" s="64"/>
      <c r="F39" s="63"/>
      <c r="G39" s="64"/>
      <c r="H39" s="211"/>
      <c r="I39" s="211"/>
      <c r="J39" s="63"/>
      <c r="K39" s="64"/>
      <c r="L39" s="242"/>
      <c r="M39" s="242"/>
      <c r="P39" s="163"/>
      <c r="Q39" s="27"/>
      <c r="R39" s="27"/>
      <c r="S39" s="27"/>
      <c r="T39" s="27"/>
      <c r="U39" s="27"/>
      <c r="V39" s="27"/>
      <c r="W39" s="27"/>
      <c r="X39" s="164"/>
    </row>
    <row r="40" spans="1:24" ht="14.25" customHeight="1" x14ac:dyDescent="0.3">
      <c r="A40" s="48" t="s">
        <v>22</v>
      </c>
      <c r="B40" s="136">
        <v>2020</v>
      </c>
      <c r="C40" s="365"/>
      <c r="D40" s="365"/>
      <c r="E40" s="366"/>
      <c r="F40" s="136">
        <v>2020</v>
      </c>
      <c r="G40" s="365"/>
      <c r="H40" s="365"/>
      <c r="I40" s="366"/>
      <c r="J40" s="136"/>
      <c r="K40" s="365"/>
      <c r="L40" s="365"/>
      <c r="M40" s="366"/>
      <c r="P40" s="163"/>
      <c r="Q40" s="27"/>
      <c r="R40" s="27"/>
      <c r="S40" s="27"/>
      <c r="T40" s="27"/>
      <c r="U40" s="27"/>
      <c r="V40" s="27"/>
      <c r="W40" s="27"/>
      <c r="X40" s="164"/>
    </row>
    <row r="41" spans="1:24" ht="14.25" customHeight="1" x14ac:dyDescent="0.3">
      <c r="A41" s="65" t="s">
        <v>56</v>
      </c>
      <c r="B41" s="287">
        <v>0</v>
      </c>
      <c r="C41" s="365" t="s">
        <v>224</v>
      </c>
      <c r="D41" s="365"/>
      <c r="E41" s="366"/>
      <c r="F41" s="287">
        <v>0</v>
      </c>
      <c r="G41" s="365" t="s">
        <v>224</v>
      </c>
      <c r="H41" s="365"/>
      <c r="I41" s="366"/>
      <c r="J41" s="287">
        <v>0</v>
      </c>
      <c r="K41" s="365"/>
      <c r="L41" s="365"/>
      <c r="M41" s="366"/>
      <c r="P41" s="163"/>
      <c r="Q41" s="27"/>
      <c r="R41" s="27"/>
      <c r="S41" s="27"/>
      <c r="T41" s="27"/>
      <c r="U41" s="27"/>
      <c r="V41" s="27"/>
      <c r="W41" s="27"/>
      <c r="X41" s="164"/>
    </row>
    <row r="42" spans="1:24" ht="14.25" customHeight="1" x14ac:dyDescent="0.3">
      <c r="A42" s="30"/>
      <c r="B42" s="211"/>
      <c r="C42" s="211"/>
      <c r="D42" s="211"/>
      <c r="E42" s="211"/>
      <c r="F42" s="211"/>
      <c r="G42" s="211"/>
      <c r="H42" s="211"/>
      <c r="I42" s="211"/>
      <c r="J42" s="242"/>
      <c r="K42" s="211"/>
      <c r="L42" s="211"/>
      <c r="M42" s="211"/>
      <c r="N42" s="211"/>
      <c r="P42" s="163"/>
      <c r="Q42" s="27"/>
      <c r="R42" s="27"/>
      <c r="S42" s="27"/>
      <c r="T42" s="27"/>
      <c r="U42" s="27"/>
      <c r="V42" s="27"/>
      <c r="W42" s="27"/>
      <c r="X42" s="164"/>
    </row>
    <row r="43" spans="1:24" ht="14.25" customHeight="1" x14ac:dyDescent="0.3">
      <c r="B43" s="211"/>
      <c r="C43" s="211"/>
      <c r="D43" s="211"/>
      <c r="E43" s="211"/>
      <c r="F43" s="211"/>
      <c r="G43" s="211"/>
      <c r="H43" s="211"/>
      <c r="I43" s="211"/>
      <c r="J43" s="242"/>
      <c r="K43" s="211"/>
      <c r="L43" s="211"/>
      <c r="M43" s="211"/>
      <c r="N43" s="211"/>
      <c r="P43" s="163"/>
      <c r="Q43" s="27"/>
      <c r="R43" s="27"/>
      <c r="S43" s="27"/>
      <c r="T43" s="27"/>
      <c r="U43" s="27"/>
      <c r="V43" s="27"/>
      <c r="W43" s="27"/>
      <c r="X43" s="164"/>
    </row>
    <row r="44" spans="1:24" x14ac:dyDescent="0.3">
      <c r="A44" s="30"/>
      <c r="B44" s="211"/>
      <c r="C44" s="211"/>
      <c r="D44" s="211"/>
      <c r="E44" s="211"/>
      <c r="F44" s="211"/>
      <c r="G44" s="211"/>
      <c r="H44" s="211"/>
      <c r="I44" s="211"/>
      <c r="J44" s="242"/>
      <c r="K44" s="211"/>
      <c r="L44" s="211"/>
      <c r="M44" s="211"/>
      <c r="N44" s="211"/>
      <c r="P44" s="163"/>
      <c r="Q44" s="27"/>
      <c r="R44" s="27"/>
      <c r="S44" s="27"/>
      <c r="T44" s="27"/>
      <c r="U44" s="27"/>
      <c r="V44" s="27"/>
      <c r="W44" s="27"/>
      <c r="X44" s="164"/>
    </row>
    <row r="45" spans="1:24" ht="14.25" customHeight="1" x14ac:dyDescent="0.35">
      <c r="A45" s="214" t="s">
        <v>209</v>
      </c>
      <c r="B45" s="211"/>
      <c r="C45" s="211"/>
      <c r="D45" s="211"/>
      <c r="E45" s="211"/>
      <c r="F45" s="211"/>
      <c r="G45" s="211"/>
      <c r="H45" s="211"/>
      <c r="I45" s="211"/>
      <c r="J45" s="242"/>
      <c r="K45" s="211"/>
      <c r="L45" s="211"/>
      <c r="M45" s="211"/>
      <c r="N45" s="211"/>
      <c r="P45" s="163"/>
      <c r="Q45" s="27"/>
      <c r="R45" s="27"/>
      <c r="S45" s="27"/>
      <c r="T45" s="27"/>
      <c r="U45" s="27"/>
      <c r="V45" s="27"/>
      <c r="W45" s="27"/>
      <c r="X45" s="164"/>
    </row>
    <row r="46" spans="1:24" ht="14.25" customHeight="1" x14ac:dyDescent="0.3">
      <c r="B46" s="343" t="s">
        <v>155</v>
      </c>
      <c r="C46" s="344"/>
      <c r="D46" s="344"/>
      <c r="E46" s="344"/>
      <c r="F46" s="344"/>
      <c r="G46" s="344"/>
      <c r="H46" s="344"/>
      <c r="I46" s="345"/>
      <c r="J46" s="243"/>
      <c r="K46" s="351" t="s">
        <v>156</v>
      </c>
      <c r="L46" s="352"/>
      <c r="M46" s="352"/>
      <c r="N46" s="353"/>
      <c r="P46" s="163"/>
      <c r="Q46" s="27"/>
      <c r="R46" s="27"/>
      <c r="S46" s="27"/>
      <c r="T46" s="27"/>
      <c r="U46" s="27"/>
      <c r="V46" s="27"/>
      <c r="W46" s="27"/>
      <c r="X46" s="164"/>
    </row>
    <row r="47" spans="1:24" ht="14.25" customHeight="1" x14ac:dyDescent="0.3">
      <c r="A47" s="36"/>
      <c r="B47" s="346" t="s">
        <v>205</v>
      </c>
      <c r="C47" s="347"/>
      <c r="D47" s="347"/>
      <c r="E47" s="348"/>
      <c r="F47" s="349" t="s">
        <v>206</v>
      </c>
      <c r="G47" s="347"/>
      <c r="H47" s="347"/>
      <c r="I47" s="350"/>
      <c r="J47" s="243"/>
      <c r="K47" s="108" t="s">
        <v>145</v>
      </c>
      <c r="L47" s="109" t="s">
        <v>146</v>
      </c>
      <c r="M47" s="109" t="s">
        <v>147</v>
      </c>
      <c r="N47" s="110" t="s">
        <v>243</v>
      </c>
      <c r="P47" s="163"/>
      <c r="Q47" s="27"/>
      <c r="R47" s="27"/>
      <c r="S47" s="27"/>
      <c r="T47" s="27"/>
      <c r="U47" s="27"/>
      <c r="V47" s="27"/>
      <c r="W47" s="27"/>
      <c r="X47" s="164"/>
    </row>
    <row r="48" spans="1:24" ht="14.25" customHeight="1" x14ac:dyDescent="0.3">
      <c r="A48" s="59"/>
      <c r="B48" s="104">
        <f>StartDate</f>
        <v>43921</v>
      </c>
      <c r="C48" s="60">
        <f>EDATE(B48,3)</f>
        <v>44012</v>
      </c>
      <c r="D48" s="60">
        <f t="shared" ref="D48" si="16">EDATE(C48,3)</f>
        <v>44104</v>
      </c>
      <c r="E48" s="60">
        <f t="shared" ref="E48" si="17">EDATE(D48,3)</f>
        <v>44195</v>
      </c>
      <c r="F48" s="60">
        <f t="shared" ref="F48" si="18">EDATE(E48,3)</f>
        <v>44285</v>
      </c>
      <c r="G48" s="60">
        <f t="shared" ref="G48" si="19">EDATE(F48,3)</f>
        <v>44377</v>
      </c>
      <c r="H48" s="60">
        <f t="shared" ref="H48" si="20">EDATE(G48,3)</f>
        <v>44469</v>
      </c>
      <c r="I48" s="100">
        <f t="shared" ref="I48" si="21">EDATE(H48,3)</f>
        <v>44560</v>
      </c>
      <c r="J48" s="243"/>
      <c r="K48" s="104">
        <f>EDATE(I48,3)</f>
        <v>44650</v>
      </c>
      <c r="L48" s="60">
        <f t="shared" ref="L48" si="22">EDATE(K48,12)</f>
        <v>45015</v>
      </c>
      <c r="M48" s="60">
        <f t="shared" ref="M48:N48" si="23">EDATE(L48,12)</f>
        <v>45381</v>
      </c>
      <c r="N48" s="107">
        <f t="shared" si="23"/>
        <v>45746</v>
      </c>
      <c r="P48" s="163"/>
      <c r="Q48" s="27"/>
      <c r="R48" s="27"/>
      <c r="S48" s="27"/>
      <c r="T48" s="27"/>
      <c r="U48" s="27"/>
      <c r="V48" s="27"/>
      <c r="W48" s="27"/>
      <c r="X48" s="164"/>
    </row>
    <row r="49" spans="1:24" ht="14.25" customHeight="1" x14ac:dyDescent="0.3">
      <c r="A49" s="42" t="str">
        <f>B27</f>
        <v>Product 1</v>
      </c>
      <c r="B49" s="120">
        <f>'Bottom-Up'!B15*COGS!$B38*((1+$B$41)^(YEAR(B48)-$B$40))</f>
        <v>0</v>
      </c>
      <c r="C49" s="51">
        <f>'Bottom-Up'!C15*COGS!$B38*((1+$B$41)^(YEAR(C48)-$B$40))</f>
        <v>0</v>
      </c>
      <c r="D49" s="51">
        <f>'Bottom-Up'!D15*COGS!$B38*((1+$B$41)^(YEAR(D48)-$B$40))</f>
        <v>0</v>
      </c>
      <c r="E49" s="51">
        <f>'Bottom-Up'!E15*COGS!$B38*((1+$B$41)^(YEAR(E48)-$B$40))</f>
        <v>0</v>
      </c>
      <c r="F49" s="51">
        <f>'Bottom-Up'!F15*COGS!$B38*((1+$B$41)^(YEAR(F48)-$B$40))</f>
        <v>0</v>
      </c>
      <c r="G49" s="51">
        <f>'Bottom-Up'!G15*COGS!$B38*((1+$B$41)^(YEAR(G48)-$B$40))</f>
        <v>0</v>
      </c>
      <c r="H49" s="51">
        <f>'Bottom-Up'!H15*COGS!$B38*((1+$B$41)^(YEAR(H48)-$B$40))</f>
        <v>0</v>
      </c>
      <c r="I49" s="121">
        <f>'Bottom-Up'!I15*COGS!$B38*((1+$B$41)^(YEAR(I48)-$B$40))</f>
        <v>0</v>
      </c>
      <c r="J49" s="243"/>
      <c r="K49" s="120">
        <f>'Bottom-Up'!K15*COGS!$B38*((1+$B$41)^(YEAR(K48)-$B$40))</f>
        <v>0</v>
      </c>
      <c r="L49" s="51">
        <f>'Bottom-Up'!L15*COGS!$B38*((1+$B$41)^(YEAR(L48)-$B$40))</f>
        <v>0</v>
      </c>
      <c r="M49" s="51">
        <f>'Bottom-Up'!M15*COGS!$B38*((1+$B$41)^(YEAR(M48)-$B$40))</f>
        <v>0</v>
      </c>
      <c r="N49" s="121">
        <f>'Bottom-Up'!N15*COGS!$B38*((1+$B$41)^(YEAR(N48)-$B$40))</f>
        <v>0</v>
      </c>
      <c r="P49" s="163"/>
      <c r="Q49" s="27"/>
      <c r="R49" s="27"/>
      <c r="S49" s="27"/>
      <c r="T49" s="27"/>
      <c r="U49" s="27"/>
      <c r="V49" s="27"/>
      <c r="W49" s="27"/>
      <c r="X49" s="164"/>
    </row>
    <row r="50" spans="1:24" ht="14.25" customHeight="1" thickBot="1" x14ac:dyDescent="0.35">
      <c r="A50" s="42" t="str">
        <f>F27</f>
        <v>Product 2</v>
      </c>
      <c r="B50" s="120">
        <f>'Bottom-Up'!B16*COGS!$F38*((1+$F$41)^(YEAR(B48)-$F$40))</f>
        <v>0</v>
      </c>
      <c r="C50" s="51">
        <f>'Bottom-Up'!C16*COGS!$F38*((1+$F$41)^(YEAR(C48)-$F$40))</f>
        <v>0</v>
      </c>
      <c r="D50" s="51">
        <f>'Bottom-Up'!D16*COGS!$F38*((1+$F$41)^(YEAR(D48)-$F$40))</f>
        <v>0</v>
      </c>
      <c r="E50" s="51">
        <f>'Bottom-Up'!E16*COGS!$F38*((1+$F$41)^(YEAR(E48)-$F$40))</f>
        <v>0</v>
      </c>
      <c r="F50" s="51">
        <f>'Bottom-Up'!F16*COGS!$F38*((1+$F$41)^(YEAR(F48)-$F$40))</f>
        <v>0</v>
      </c>
      <c r="G50" s="51">
        <f>'Bottom-Up'!G16*COGS!$F38*((1+$F$41)^(YEAR(G48)-$F$40))</f>
        <v>0</v>
      </c>
      <c r="H50" s="51">
        <f>'Bottom-Up'!H16*COGS!$F38*((1+$F$41)^(YEAR(H48)-$F$40))</f>
        <v>0</v>
      </c>
      <c r="I50" s="121">
        <f>'Bottom-Up'!I16*COGS!$F38*((1+$F$41)^(YEAR(I48)-$F$40))</f>
        <v>0</v>
      </c>
      <c r="J50" s="243"/>
      <c r="K50" s="120">
        <f>'Bottom-Up'!K16*COGS!$F38*((1+$F$41)^(YEAR(K48)-$F$40))</f>
        <v>0</v>
      </c>
      <c r="L50" s="51">
        <f>'Bottom-Up'!L16*COGS!$F38*((1+$F$41)^(YEAR(L48)-$F$40))</f>
        <v>0</v>
      </c>
      <c r="M50" s="51">
        <f>'Bottom-Up'!M16*COGS!$F38*((1+$F$41)^(YEAR(M48)-$F$40))</f>
        <v>0</v>
      </c>
      <c r="N50" s="121">
        <f>'Bottom-Up'!N16*COGS!$F38*((1+$F$41)^(YEAR(N48)-$F$40))</f>
        <v>0</v>
      </c>
      <c r="P50" s="125"/>
      <c r="Q50" s="126"/>
      <c r="R50" s="126"/>
      <c r="S50" s="126"/>
      <c r="T50" s="126"/>
      <c r="U50" s="126"/>
      <c r="V50" s="126"/>
      <c r="W50" s="126"/>
      <c r="X50" s="127"/>
    </row>
    <row r="51" spans="1:24" ht="24.6" thickTop="1" thickBot="1" x14ac:dyDescent="0.5">
      <c r="A51" s="43" t="str">
        <f>J27</f>
        <v>Product 3</v>
      </c>
      <c r="B51" s="133">
        <f>'Bottom-Up'!B17*COGS!$J38*((1+$J$41)^(YEAR(B48)-$J$40))</f>
        <v>0</v>
      </c>
      <c r="C51" s="134">
        <f>'Bottom-Up'!C17*COGS!$J38*((1+$J$41)^(YEAR(C48)-$J$40))</f>
        <v>0</v>
      </c>
      <c r="D51" s="134">
        <f>'Bottom-Up'!D17*COGS!$J38*((1+$J$41)^(YEAR(D48)-$J$40))</f>
        <v>0</v>
      </c>
      <c r="E51" s="134">
        <f>'Bottom-Up'!E17*COGS!$J38*((1+$J$41)^(YEAR(E48)-$J$40))</f>
        <v>0</v>
      </c>
      <c r="F51" s="134">
        <f>'Bottom-Up'!F17*COGS!$J38*((1+$J$41)^(YEAR(F48)-$J$40))</f>
        <v>0</v>
      </c>
      <c r="G51" s="134">
        <f>'Bottom-Up'!G17*COGS!$J38*((1+$J$41)^(YEAR(G48)-$J$40))</f>
        <v>0</v>
      </c>
      <c r="H51" s="134">
        <f>'Bottom-Up'!H17*COGS!$J38*((1+$J$41)^(YEAR(H48)-$J$40))</f>
        <v>0</v>
      </c>
      <c r="I51" s="135">
        <f>'Bottom-Up'!I17*COGS!$J38*((1+$J$41)^(YEAR(I48)-$J$40))</f>
        <v>0</v>
      </c>
      <c r="J51" s="243"/>
      <c r="K51" s="133">
        <f>'Bottom-Up'!K17*COGS!$J38*((1+$J$41)^(YEAR(K48)-$J$40))</f>
        <v>0</v>
      </c>
      <c r="L51" s="134">
        <f>'Bottom-Up'!L17*COGS!$J38*((1+$J$41)^(YEAR(L48)-$J$40))</f>
        <v>0</v>
      </c>
      <c r="M51" s="134">
        <f>'Bottom-Up'!M17*COGS!$J38*((1+$J$41)^(YEAR(M48)-$J$40))</f>
        <v>0</v>
      </c>
      <c r="N51" s="135">
        <f>'Bottom-Up'!N17*COGS!$J38*((1+$J$41)^(YEAR(N48)-$J$40))</f>
        <v>0</v>
      </c>
      <c r="O51" s="32"/>
      <c r="P51" s="227"/>
      <c r="Q51" s="224" t="str">
        <f>CompanyName &amp;" COGS Forecast - Bottom-up"</f>
        <v>WorkHorse COGS Forecast - Bottom-up</v>
      </c>
      <c r="R51" s="225"/>
      <c r="S51" s="226"/>
      <c r="T51" s="226"/>
      <c r="U51" s="226"/>
      <c r="V51" s="226"/>
      <c r="W51" s="226"/>
      <c r="X51" s="228"/>
    </row>
    <row r="52" spans="1:24" ht="15" thickTop="1" x14ac:dyDescent="0.3">
      <c r="A52" s="44" t="s">
        <v>13</v>
      </c>
      <c r="B52" s="53">
        <f>SUM(B49:B51)</f>
        <v>0</v>
      </c>
      <c r="C52" s="53">
        <f t="shared" ref="C52:N52" si="24">SUM(C49:C51)</f>
        <v>0</v>
      </c>
      <c r="D52" s="53">
        <f t="shared" si="24"/>
        <v>0</v>
      </c>
      <c r="E52" s="53">
        <f t="shared" si="24"/>
        <v>0</v>
      </c>
      <c r="F52" s="53">
        <f t="shared" si="24"/>
        <v>0</v>
      </c>
      <c r="G52" s="53">
        <f t="shared" si="24"/>
        <v>0</v>
      </c>
      <c r="H52" s="53">
        <f t="shared" si="24"/>
        <v>0</v>
      </c>
      <c r="I52" s="53">
        <f t="shared" si="24"/>
        <v>0</v>
      </c>
      <c r="J52" s="243"/>
      <c r="K52" s="53">
        <f t="shared" si="24"/>
        <v>0</v>
      </c>
      <c r="L52" s="53">
        <f t="shared" si="24"/>
        <v>0</v>
      </c>
      <c r="M52" s="53">
        <f t="shared" si="24"/>
        <v>0</v>
      </c>
      <c r="N52" s="53">
        <f t="shared" si="24"/>
        <v>0</v>
      </c>
      <c r="O52" s="32"/>
      <c r="P52" s="217"/>
      <c r="Q52" s="27"/>
      <c r="R52" s="27"/>
      <c r="S52" s="27"/>
      <c r="T52" s="27"/>
      <c r="U52" s="27"/>
      <c r="V52" s="27"/>
      <c r="W52" s="27"/>
      <c r="X52" s="164"/>
    </row>
    <row r="53" spans="1:24" ht="17.399999999999999" x14ac:dyDescent="0.35">
      <c r="O53" s="32"/>
      <c r="P53" s="217"/>
      <c r="Q53" s="218" t="s">
        <v>210</v>
      </c>
      <c r="R53" s="27"/>
      <c r="S53" s="27"/>
      <c r="T53" s="27"/>
      <c r="U53" s="27"/>
      <c r="V53" s="27"/>
      <c r="W53" s="27"/>
      <c r="X53" s="164"/>
    </row>
    <row r="54" spans="1:24" x14ac:dyDescent="0.3">
      <c r="O54" s="32"/>
      <c r="P54" s="217"/>
      <c r="Q54" s="27"/>
      <c r="R54" s="27"/>
      <c r="S54" s="27"/>
      <c r="T54" s="27"/>
      <c r="U54" s="27"/>
      <c r="V54" s="27"/>
      <c r="W54" s="27"/>
      <c r="X54" s="164"/>
    </row>
    <row r="55" spans="1:24" ht="15.6" x14ac:dyDescent="0.3">
      <c r="O55" s="32"/>
      <c r="P55" s="219"/>
      <c r="Q55" s="45"/>
      <c r="R55" s="45"/>
      <c r="S55" s="45"/>
      <c r="T55" s="45"/>
      <c r="U55" s="45"/>
      <c r="V55" s="45"/>
      <c r="W55" s="45"/>
      <c r="X55" s="220"/>
    </row>
    <row r="56" spans="1:24" x14ac:dyDescent="0.3">
      <c r="O56" s="32"/>
      <c r="P56" s="217"/>
      <c r="Q56" s="27"/>
      <c r="R56" s="27"/>
      <c r="S56" s="27"/>
      <c r="T56" s="27"/>
      <c r="U56" s="27"/>
      <c r="V56" s="27"/>
      <c r="W56" s="27"/>
      <c r="X56" s="164"/>
    </row>
    <row r="57" spans="1:24" x14ac:dyDescent="0.3">
      <c r="O57" s="32"/>
      <c r="P57" s="217"/>
      <c r="Q57" s="27"/>
      <c r="R57" s="27"/>
      <c r="S57" s="27"/>
      <c r="T57" s="27"/>
      <c r="U57" s="27"/>
      <c r="V57" s="27"/>
      <c r="W57" s="27"/>
      <c r="X57" s="164"/>
    </row>
    <row r="58" spans="1:24" x14ac:dyDescent="0.3">
      <c r="O58" s="32"/>
      <c r="P58" s="217"/>
      <c r="Q58" s="27"/>
      <c r="R58" s="27"/>
      <c r="S58" s="27"/>
      <c r="T58" s="27"/>
      <c r="U58" s="27"/>
      <c r="V58" s="27"/>
      <c r="W58" s="27"/>
      <c r="X58" s="164"/>
    </row>
    <row r="59" spans="1:24" x14ac:dyDescent="0.3">
      <c r="O59" s="32"/>
      <c r="P59" s="217"/>
      <c r="Q59" s="27"/>
      <c r="R59" s="27"/>
      <c r="S59" s="27"/>
      <c r="T59" s="27"/>
      <c r="U59" s="27"/>
      <c r="V59" s="27"/>
      <c r="W59" s="27"/>
      <c r="X59" s="164"/>
    </row>
    <row r="60" spans="1:24" x14ac:dyDescent="0.3">
      <c r="O60" s="32"/>
      <c r="P60" s="217"/>
      <c r="Q60" s="27"/>
      <c r="R60" s="27"/>
      <c r="S60" s="27"/>
      <c r="T60" s="27"/>
      <c r="U60" s="27"/>
      <c r="V60" s="27"/>
      <c r="W60" s="27"/>
      <c r="X60" s="164"/>
    </row>
    <row r="61" spans="1:24" x14ac:dyDescent="0.3">
      <c r="O61" s="32"/>
      <c r="P61" s="217"/>
      <c r="Q61" s="27"/>
      <c r="R61" s="27"/>
      <c r="S61" s="27"/>
      <c r="T61" s="27"/>
      <c r="U61" s="27"/>
      <c r="V61" s="27"/>
      <c r="W61" s="27"/>
      <c r="X61" s="164"/>
    </row>
    <row r="62" spans="1:24" x14ac:dyDescent="0.3">
      <c r="O62" s="32"/>
      <c r="P62" s="217"/>
      <c r="Q62" s="27"/>
      <c r="R62" s="27"/>
      <c r="S62" s="27"/>
      <c r="T62" s="27"/>
      <c r="U62" s="27"/>
      <c r="V62" s="27"/>
      <c r="W62" s="27"/>
      <c r="X62" s="164"/>
    </row>
    <row r="63" spans="1:24" x14ac:dyDescent="0.3">
      <c r="O63" s="32"/>
      <c r="P63" s="217"/>
      <c r="Q63" s="27"/>
      <c r="R63" s="27"/>
      <c r="S63" s="27"/>
      <c r="T63" s="27"/>
      <c r="U63" s="27"/>
      <c r="V63" s="27"/>
      <c r="W63" s="27"/>
      <c r="X63" s="164"/>
    </row>
    <row r="64" spans="1:24" x14ac:dyDescent="0.3">
      <c r="O64" s="32"/>
      <c r="P64" s="217"/>
      <c r="Q64" s="27"/>
      <c r="R64" s="27"/>
      <c r="S64" s="27"/>
      <c r="T64" s="27"/>
      <c r="U64" s="27"/>
      <c r="V64" s="27"/>
      <c r="W64" s="27"/>
      <c r="X64" s="164"/>
    </row>
    <row r="65" spans="16:24" s="61" customFormat="1" x14ac:dyDescent="0.3">
      <c r="P65" s="163"/>
      <c r="Q65" s="27"/>
      <c r="R65" s="27"/>
      <c r="S65" s="27"/>
      <c r="T65" s="27"/>
      <c r="U65" s="27"/>
      <c r="V65" s="27"/>
      <c r="W65" s="27"/>
      <c r="X65" s="164"/>
    </row>
    <row r="66" spans="16:24" x14ac:dyDescent="0.3">
      <c r="P66" s="163"/>
      <c r="Q66" s="27"/>
      <c r="R66" s="27"/>
      <c r="S66" s="27"/>
      <c r="T66" s="27"/>
      <c r="U66" s="27"/>
      <c r="V66" s="27"/>
      <c r="W66" s="27"/>
      <c r="X66" s="164"/>
    </row>
    <row r="67" spans="16:24" x14ac:dyDescent="0.3">
      <c r="P67" s="163"/>
      <c r="Q67" s="27"/>
      <c r="R67" s="27"/>
      <c r="S67" s="27"/>
      <c r="T67" s="27"/>
      <c r="U67" s="27"/>
      <c r="V67" s="27"/>
      <c r="W67" s="27"/>
      <c r="X67" s="164"/>
    </row>
    <row r="68" spans="16:24" x14ac:dyDescent="0.3">
      <c r="P68" s="163"/>
      <c r="Q68" s="27"/>
      <c r="R68" s="27"/>
      <c r="S68" s="27"/>
      <c r="T68" s="27"/>
      <c r="U68" s="27"/>
      <c r="V68" s="27"/>
      <c r="W68" s="27"/>
      <c r="X68" s="164"/>
    </row>
    <row r="69" spans="16:24" s="29" customFormat="1" ht="15" thickBot="1" x14ac:dyDescent="0.35">
      <c r="P69" s="125"/>
      <c r="Q69" s="126"/>
      <c r="R69" s="126"/>
      <c r="S69" s="126"/>
      <c r="T69" s="126"/>
      <c r="U69" s="126"/>
      <c r="V69" s="126"/>
      <c r="W69" s="126"/>
      <c r="X69" s="127"/>
    </row>
    <row r="70" spans="16:24" ht="15" thickTop="1" x14ac:dyDescent="0.3">
      <c r="P70" s="221"/>
      <c r="Q70" s="222"/>
      <c r="R70" s="222"/>
      <c r="S70" s="222"/>
      <c r="T70" s="222"/>
      <c r="U70" s="222"/>
      <c r="V70" s="222"/>
      <c r="W70" s="222"/>
      <c r="X70" s="216"/>
    </row>
    <row r="71" spans="16:24" ht="17.399999999999999" x14ac:dyDescent="0.35">
      <c r="P71" s="163"/>
      <c r="Q71" s="218" t="s">
        <v>211</v>
      </c>
      <c r="R71" s="27"/>
      <c r="S71" s="27"/>
      <c r="T71" s="27"/>
      <c r="U71" s="27"/>
      <c r="V71" s="27"/>
      <c r="W71" s="27"/>
      <c r="X71" s="164"/>
    </row>
    <row r="72" spans="16:24" x14ac:dyDescent="0.3">
      <c r="P72" s="163"/>
      <c r="X72" s="164"/>
    </row>
    <row r="73" spans="16:24" x14ac:dyDescent="0.3">
      <c r="P73" s="163"/>
      <c r="R73" s="351" t="s">
        <v>212</v>
      </c>
      <c r="S73" s="352"/>
      <c r="T73" s="352"/>
      <c r="U73" s="352"/>
      <c r="V73" s="352"/>
      <c r="W73" s="353"/>
      <c r="X73" s="164"/>
    </row>
    <row r="74" spans="16:24" x14ac:dyDescent="0.3">
      <c r="P74" s="163"/>
      <c r="R74" s="108" t="s">
        <v>205</v>
      </c>
      <c r="S74" s="109" t="s">
        <v>206</v>
      </c>
      <c r="T74" s="109" t="s">
        <v>145</v>
      </c>
      <c r="U74" s="109" t="s">
        <v>146</v>
      </c>
      <c r="V74" s="109" t="s">
        <v>147</v>
      </c>
      <c r="W74" s="110" t="s">
        <v>243</v>
      </c>
      <c r="X74" s="164"/>
    </row>
    <row r="75" spans="16:24" x14ac:dyDescent="0.3">
      <c r="P75" s="163"/>
      <c r="R75" s="104">
        <f>B48</f>
        <v>43921</v>
      </c>
      <c r="S75" s="60">
        <f>F48</f>
        <v>44285</v>
      </c>
      <c r="T75" s="60">
        <f>K48</f>
        <v>44650</v>
      </c>
      <c r="U75" s="60">
        <f t="shared" ref="U75:W75" si="25">L48</f>
        <v>45015</v>
      </c>
      <c r="V75" s="60">
        <f t="shared" si="25"/>
        <v>45381</v>
      </c>
      <c r="W75" s="107">
        <f t="shared" si="25"/>
        <v>45746</v>
      </c>
      <c r="X75" s="164"/>
    </row>
    <row r="76" spans="16:24" x14ac:dyDescent="0.3">
      <c r="P76" s="163"/>
      <c r="Q76" s="212" t="str">
        <f t="shared" ref="Q76:Q78" si="26">A49</f>
        <v>Product 1</v>
      </c>
      <c r="R76" s="105">
        <f>SUM(B49:E49)</f>
        <v>0</v>
      </c>
      <c r="S76" s="98">
        <f>SUM(F49:I49)</f>
        <v>0</v>
      </c>
      <c r="T76" s="98">
        <f t="shared" ref="T76:W76" si="27">K49</f>
        <v>0</v>
      </c>
      <c r="U76" s="98">
        <f t="shared" si="27"/>
        <v>0</v>
      </c>
      <c r="V76" s="98">
        <f t="shared" si="27"/>
        <v>0</v>
      </c>
      <c r="W76" s="101">
        <f t="shared" si="27"/>
        <v>0</v>
      </c>
      <c r="X76" s="164"/>
    </row>
    <row r="77" spans="16:24" x14ac:dyDescent="0.3">
      <c r="P77" s="163"/>
      <c r="Q77" s="212" t="str">
        <f t="shared" si="26"/>
        <v>Product 2</v>
      </c>
      <c r="R77" s="105">
        <f t="shared" ref="R77:R78" si="28">SUM(B50:E50)</f>
        <v>0</v>
      </c>
      <c r="S77" s="98">
        <f t="shared" ref="S77:S78" si="29">SUM(F50:I50)</f>
        <v>0</v>
      </c>
      <c r="T77" s="98">
        <f t="shared" ref="T77:W77" si="30">K50</f>
        <v>0</v>
      </c>
      <c r="U77" s="98">
        <f t="shared" si="30"/>
        <v>0</v>
      </c>
      <c r="V77" s="98">
        <f t="shared" si="30"/>
        <v>0</v>
      </c>
      <c r="W77" s="101">
        <f t="shared" si="30"/>
        <v>0</v>
      </c>
      <c r="X77" s="164"/>
    </row>
    <row r="78" spans="16:24" ht="15" thickBot="1" x14ac:dyDescent="0.35">
      <c r="P78" s="163"/>
      <c r="Q78" s="212" t="str">
        <f t="shared" si="26"/>
        <v>Product 3</v>
      </c>
      <c r="R78" s="106">
        <f t="shared" si="28"/>
        <v>0</v>
      </c>
      <c r="S78" s="99">
        <f t="shared" si="29"/>
        <v>0</v>
      </c>
      <c r="T78" s="99">
        <f t="shared" ref="T78:W78" si="31">K51</f>
        <v>0</v>
      </c>
      <c r="U78" s="99">
        <f t="shared" si="31"/>
        <v>0</v>
      </c>
      <c r="V78" s="99">
        <f t="shared" si="31"/>
        <v>0</v>
      </c>
      <c r="W78" s="102">
        <f t="shared" si="31"/>
        <v>0</v>
      </c>
      <c r="X78" s="164"/>
    </row>
    <row r="79" spans="16:24" ht="15" thickTop="1" x14ac:dyDescent="0.3">
      <c r="P79" s="163"/>
      <c r="R79" s="86">
        <f t="shared" ref="R79:W79" si="32">SUM(R76:R78)</f>
        <v>0</v>
      </c>
      <c r="S79" s="86">
        <f t="shared" si="32"/>
        <v>0</v>
      </c>
      <c r="T79" s="86">
        <f t="shared" si="32"/>
        <v>0</v>
      </c>
      <c r="U79" s="86">
        <f t="shared" si="32"/>
        <v>0</v>
      </c>
      <c r="V79" s="86">
        <f t="shared" si="32"/>
        <v>0</v>
      </c>
      <c r="W79" s="118">
        <f t="shared" si="32"/>
        <v>0</v>
      </c>
      <c r="X79" s="164"/>
    </row>
    <row r="80" spans="16:24" x14ac:dyDescent="0.3">
      <c r="P80" s="163"/>
      <c r="Q80" s="27"/>
      <c r="R80" s="27"/>
      <c r="S80" s="27"/>
      <c r="T80" s="27"/>
      <c r="U80" s="27"/>
      <c r="V80" s="27"/>
      <c r="W80" s="27"/>
      <c r="X80" s="164"/>
    </row>
    <row r="81" spans="16:30" x14ac:dyDescent="0.3">
      <c r="P81" s="163"/>
      <c r="Q81" s="27"/>
      <c r="R81" s="27"/>
      <c r="S81" s="27"/>
      <c r="T81" s="27"/>
      <c r="U81" s="27"/>
      <c r="V81" s="27"/>
      <c r="W81" s="27"/>
      <c r="X81" s="164"/>
    </row>
    <row r="82" spans="16:30" x14ac:dyDescent="0.3">
      <c r="P82" s="163"/>
      <c r="Q82" s="27"/>
      <c r="R82" s="27"/>
      <c r="S82" s="27"/>
      <c r="T82" s="27"/>
      <c r="U82" s="27"/>
      <c r="V82" s="27"/>
      <c r="W82" s="27"/>
      <c r="X82" s="164"/>
      <c r="Z82" s="234"/>
      <c r="AA82" s="234"/>
      <c r="AB82" s="234"/>
      <c r="AC82" s="234"/>
      <c r="AD82" s="234"/>
    </row>
    <row r="83" spans="16:30" x14ac:dyDescent="0.3">
      <c r="P83" s="163"/>
      <c r="Q83" s="27"/>
      <c r="R83" s="27"/>
      <c r="S83" s="27"/>
      <c r="T83" s="27"/>
      <c r="U83" s="27"/>
      <c r="V83" s="27"/>
      <c r="W83" s="27"/>
      <c r="X83" s="164"/>
      <c r="Z83" s="32"/>
      <c r="AA83" s="32"/>
      <c r="AB83" s="32"/>
      <c r="AC83" s="32"/>
      <c r="AD83" s="32"/>
    </row>
    <row r="84" spans="16:30" x14ac:dyDescent="0.3">
      <c r="P84" s="163"/>
      <c r="Q84" s="27"/>
      <c r="R84" s="27"/>
      <c r="S84" s="27"/>
      <c r="T84" s="27"/>
      <c r="U84" s="27"/>
      <c r="V84" s="27"/>
      <c r="W84" s="27"/>
      <c r="X84" s="164"/>
      <c r="Z84" s="238"/>
      <c r="AA84" s="238"/>
      <c r="AB84" s="238"/>
      <c r="AC84" s="238"/>
      <c r="AD84" s="238"/>
    </row>
    <row r="85" spans="16:30" x14ac:dyDescent="0.3">
      <c r="P85" s="163"/>
      <c r="Q85" s="27"/>
      <c r="R85" s="27"/>
      <c r="S85" s="27"/>
      <c r="T85" s="27"/>
      <c r="U85" s="27"/>
      <c r="V85" s="27"/>
      <c r="W85" s="27"/>
      <c r="X85" s="164"/>
      <c r="AA85" s="238"/>
      <c r="AB85" s="238"/>
      <c r="AC85" s="238"/>
      <c r="AD85" s="238"/>
    </row>
    <row r="86" spans="16:30" x14ac:dyDescent="0.3">
      <c r="P86" s="163"/>
      <c r="Q86" s="27"/>
      <c r="R86" s="27"/>
      <c r="S86" s="27"/>
      <c r="T86" s="27"/>
      <c r="U86" s="27"/>
      <c r="V86" s="27"/>
      <c r="W86" s="27"/>
      <c r="X86" s="164"/>
    </row>
    <row r="87" spans="16:30" x14ac:dyDescent="0.3">
      <c r="P87" s="163"/>
      <c r="Q87" s="27"/>
      <c r="R87" s="27"/>
      <c r="S87" s="27"/>
      <c r="T87" s="27"/>
      <c r="U87" s="27"/>
      <c r="V87" s="27"/>
      <c r="W87" s="27"/>
      <c r="X87" s="164"/>
    </row>
    <row r="88" spans="16:30" x14ac:dyDescent="0.3">
      <c r="P88" s="163"/>
      <c r="Q88" s="27"/>
      <c r="R88" s="27"/>
      <c r="S88" s="27"/>
      <c r="T88" s="27"/>
      <c r="U88" s="27"/>
      <c r="V88" s="27"/>
      <c r="W88" s="27"/>
      <c r="X88" s="164"/>
    </row>
    <row r="89" spans="16:30" x14ac:dyDescent="0.3">
      <c r="P89" s="163"/>
      <c r="Q89" s="27"/>
      <c r="R89" s="27"/>
      <c r="S89" s="27"/>
      <c r="T89" s="27"/>
      <c r="U89" s="27"/>
      <c r="V89" s="27"/>
      <c r="W89" s="27"/>
      <c r="X89" s="164"/>
    </row>
    <row r="90" spans="16:30" x14ac:dyDescent="0.3">
      <c r="P90" s="163"/>
      <c r="Q90" s="27"/>
      <c r="R90" s="27"/>
      <c r="S90" s="27"/>
      <c r="T90" s="27"/>
      <c r="U90" s="27"/>
      <c r="V90" s="27"/>
      <c r="W90" s="27"/>
      <c r="X90" s="164"/>
    </row>
    <row r="91" spans="16:30" x14ac:dyDescent="0.3">
      <c r="P91" s="163"/>
      <c r="Q91" s="27"/>
      <c r="R91" s="27"/>
      <c r="S91" s="27"/>
      <c r="T91" s="27"/>
      <c r="U91" s="27"/>
      <c r="V91" s="27"/>
      <c r="W91" s="27"/>
      <c r="X91" s="164"/>
    </row>
    <row r="92" spans="16:30" x14ac:dyDescent="0.3">
      <c r="P92" s="163"/>
      <c r="Q92" s="27"/>
      <c r="R92" s="27"/>
      <c r="S92" s="27"/>
      <c r="T92" s="27"/>
      <c r="U92" s="27"/>
      <c r="V92" s="27"/>
      <c r="W92" s="27"/>
      <c r="X92" s="164"/>
    </row>
    <row r="93" spans="16:30" x14ac:dyDescent="0.3">
      <c r="P93" s="163"/>
      <c r="Q93" s="27"/>
      <c r="R93" s="27"/>
      <c r="S93" s="27"/>
      <c r="T93" s="27"/>
      <c r="U93" s="27"/>
      <c r="V93" s="27"/>
      <c r="W93" s="27"/>
      <c r="X93" s="164"/>
    </row>
    <row r="94" spans="16:30" x14ac:dyDescent="0.3">
      <c r="P94" s="163"/>
      <c r="Q94" s="27"/>
      <c r="R94" s="27"/>
      <c r="S94" s="27"/>
      <c r="T94" s="27"/>
      <c r="U94" s="27"/>
      <c r="V94" s="27"/>
      <c r="W94" s="27"/>
      <c r="X94" s="164"/>
    </row>
    <row r="95" spans="16:30" x14ac:dyDescent="0.3">
      <c r="P95" s="163"/>
      <c r="Q95" s="27"/>
      <c r="R95" s="27"/>
      <c r="S95" s="27"/>
      <c r="T95" s="27"/>
      <c r="U95" s="27"/>
      <c r="V95" s="27"/>
      <c r="W95" s="27"/>
      <c r="X95" s="164"/>
    </row>
    <row r="96" spans="16:30" x14ac:dyDescent="0.3">
      <c r="P96" s="163"/>
      <c r="Q96" s="27"/>
      <c r="R96" s="27"/>
      <c r="S96" s="27"/>
      <c r="T96" s="27"/>
      <c r="U96" s="27"/>
      <c r="V96" s="27"/>
      <c r="W96" s="27"/>
      <c r="X96" s="164"/>
    </row>
    <row r="97" spans="16:24" x14ac:dyDescent="0.3">
      <c r="P97" s="163"/>
      <c r="Q97" s="27"/>
      <c r="R97" s="27"/>
      <c r="S97" s="27"/>
      <c r="T97" s="27"/>
      <c r="U97" s="27"/>
      <c r="V97" s="27"/>
      <c r="W97" s="27"/>
      <c r="X97" s="164"/>
    </row>
    <row r="98" spans="16:24" x14ac:dyDescent="0.3">
      <c r="P98" s="163"/>
      <c r="Q98" s="27"/>
      <c r="R98" s="27"/>
      <c r="S98" s="27"/>
      <c r="T98" s="27"/>
      <c r="U98" s="27"/>
      <c r="V98" s="27"/>
      <c r="W98" s="27"/>
      <c r="X98" s="164"/>
    </row>
    <row r="99" spans="16:24" ht="15" thickBot="1" x14ac:dyDescent="0.35">
      <c r="P99" s="125"/>
      <c r="Q99" s="126"/>
      <c r="R99" s="126"/>
      <c r="S99" s="126"/>
      <c r="T99" s="126"/>
      <c r="U99" s="126"/>
      <c r="V99" s="126"/>
      <c r="W99" s="126"/>
      <c r="X99" s="127"/>
    </row>
    <row r="100" spans="16:24" ht="15" thickTop="1" x14ac:dyDescent="0.3"/>
  </sheetData>
  <mergeCells count="55">
    <mergeCell ref="K27:M27"/>
    <mergeCell ref="K28:M28"/>
    <mergeCell ref="K29:M29"/>
    <mergeCell ref="K37:M37"/>
    <mergeCell ref="C40:E40"/>
    <mergeCell ref="K32:M32"/>
    <mergeCell ref="C36:E36"/>
    <mergeCell ref="C37:E37"/>
    <mergeCell ref="G33:I33"/>
    <mergeCell ref="G34:I34"/>
    <mergeCell ref="G35:I35"/>
    <mergeCell ref="G36:I36"/>
    <mergeCell ref="G37:I37"/>
    <mergeCell ref="G32:I32"/>
    <mergeCell ref="C33:E33"/>
    <mergeCell ref="C34:E34"/>
    <mergeCell ref="C41:E41"/>
    <mergeCell ref="G40:I40"/>
    <mergeCell ref="G41:I41"/>
    <mergeCell ref="K40:M40"/>
    <mergeCell ref="K41:M41"/>
    <mergeCell ref="C35:E35"/>
    <mergeCell ref="K33:M33"/>
    <mergeCell ref="K34:M34"/>
    <mergeCell ref="K35:M35"/>
    <mergeCell ref="K36:M36"/>
    <mergeCell ref="G28:I28"/>
    <mergeCell ref="G29:I29"/>
    <mergeCell ref="G30:I30"/>
    <mergeCell ref="K30:M30"/>
    <mergeCell ref="K31:M31"/>
    <mergeCell ref="G31:I31"/>
    <mergeCell ref="R73:W73"/>
    <mergeCell ref="B47:E47"/>
    <mergeCell ref="F47:I47"/>
    <mergeCell ref="B15:I15"/>
    <mergeCell ref="K15:N15"/>
    <mergeCell ref="B46:I46"/>
    <mergeCell ref="K46:N46"/>
    <mergeCell ref="C27:E27"/>
    <mergeCell ref="G27:I27"/>
    <mergeCell ref="C28:E28"/>
    <mergeCell ref="C29:E29"/>
    <mergeCell ref="C30:E30"/>
    <mergeCell ref="C31:E31"/>
    <mergeCell ref="C32:E32"/>
    <mergeCell ref="B16:E16"/>
    <mergeCell ref="F16:I16"/>
    <mergeCell ref="C11:E11"/>
    <mergeCell ref="G11:I11"/>
    <mergeCell ref="C12:E12"/>
    <mergeCell ref="G12:I12"/>
    <mergeCell ref="R24:W24"/>
    <mergeCell ref="K11:M11"/>
    <mergeCell ref="K12:M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58"/>
  <sheetViews>
    <sheetView topLeftCell="A37" workbookViewId="0">
      <selection activeCell="B43" sqref="B43"/>
    </sheetView>
  </sheetViews>
  <sheetFormatPr defaultRowHeight="14.4" x14ac:dyDescent="0.3"/>
  <cols>
    <col min="1" max="1" width="21.44140625" customWidth="1"/>
    <col min="2" max="2" width="14.44140625" customWidth="1"/>
    <col min="3" max="9" width="12.5546875" customWidth="1"/>
    <col min="10" max="10" width="10.44140625" customWidth="1"/>
    <col min="11" max="14" width="12.5546875" customWidth="1"/>
    <col min="15" max="15" width="10" customWidth="1"/>
    <col min="16" max="16" width="3.77734375" customWidth="1"/>
    <col min="17" max="23" width="14.44140625" customWidth="1"/>
    <col min="24" max="24" width="3.77734375" customWidth="1"/>
  </cols>
  <sheetData>
    <row r="1" spans="1:24" ht="24.6" thickTop="1" thickBot="1" x14ac:dyDescent="0.5">
      <c r="A1" s="38" t="s">
        <v>57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2"/>
      <c r="P1" s="227"/>
      <c r="Q1" s="38" t="str">
        <f>CompanyName &amp;" Projected Payroll Charts"</f>
        <v>WorkHorse Projected Payroll Charts</v>
      </c>
      <c r="R1" s="225"/>
      <c r="S1" s="226"/>
      <c r="T1" s="226"/>
      <c r="U1" s="226"/>
      <c r="V1" s="226"/>
      <c r="W1" s="226"/>
      <c r="X1" s="228"/>
    </row>
    <row r="2" spans="1:24" ht="15" thickTop="1" x14ac:dyDescent="0.3">
      <c r="A2" s="36" t="str">
        <f>"Payroll ("&amp;SubHeader&amp;")"</f>
        <v>Payroll (USD)</v>
      </c>
      <c r="B2" s="97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17"/>
      <c r="Q2" s="27"/>
      <c r="R2" s="27"/>
      <c r="S2" s="27"/>
      <c r="T2" s="27"/>
      <c r="U2" s="27"/>
      <c r="V2" s="27"/>
      <c r="W2" s="27"/>
      <c r="X2" s="164"/>
    </row>
    <row r="3" spans="1:24" ht="17.399999999999999" x14ac:dyDescent="0.35">
      <c r="A3" s="27"/>
      <c r="B3" s="97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2"/>
      <c r="P3" s="217"/>
      <c r="Q3" s="218" t="s">
        <v>210</v>
      </c>
      <c r="R3" s="27"/>
      <c r="S3" s="27"/>
      <c r="T3" s="27"/>
      <c r="U3" s="27"/>
      <c r="V3" s="27"/>
      <c r="W3" s="27"/>
      <c r="X3" s="164"/>
    </row>
    <row r="4" spans="1:24" ht="19.8" x14ac:dyDescent="0.4">
      <c r="A4" s="37" t="str">
        <f>"Assumptions - Annual Payroll Needs (costs in "&amp;SubHeader&amp;")"</f>
        <v>Assumptions - Annual Payroll Needs (costs in USD)</v>
      </c>
      <c r="B4" s="28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2"/>
      <c r="P4" s="217"/>
      <c r="Q4" s="27"/>
      <c r="R4" s="27"/>
      <c r="S4" s="27"/>
      <c r="T4" s="27"/>
      <c r="U4" s="27"/>
      <c r="V4" s="27"/>
      <c r="W4" s="27"/>
      <c r="X4" s="164"/>
    </row>
    <row r="5" spans="1:24" s="47" customFormat="1" ht="31.2" x14ac:dyDescent="0.3">
      <c r="A5" s="45"/>
      <c r="B5" s="137" t="s">
        <v>221</v>
      </c>
      <c r="C5" s="358" t="s">
        <v>18</v>
      </c>
      <c r="D5" s="358"/>
      <c r="E5" s="359"/>
      <c r="F5" s="137" t="s">
        <v>287</v>
      </c>
      <c r="G5" s="358" t="s">
        <v>18</v>
      </c>
      <c r="H5" s="358"/>
      <c r="I5" s="359"/>
      <c r="J5" s="137" t="s">
        <v>213</v>
      </c>
      <c r="K5" s="358" t="s">
        <v>18</v>
      </c>
      <c r="L5" s="358"/>
      <c r="M5" s="359"/>
      <c r="O5" s="46"/>
      <c r="P5" s="219"/>
      <c r="Q5" s="45"/>
      <c r="R5" s="45"/>
      <c r="S5" s="45"/>
      <c r="T5" s="45"/>
      <c r="U5" s="45"/>
      <c r="V5" s="45"/>
      <c r="W5" s="45"/>
      <c r="X5" s="220"/>
    </row>
    <row r="6" spans="1:24" x14ac:dyDescent="0.3">
      <c r="A6" s="48" t="s">
        <v>58</v>
      </c>
      <c r="B6" s="285">
        <v>0</v>
      </c>
      <c r="C6" s="363"/>
      <c r="D6" s="363"/>
      <c r="E6" s="364"/>
      <c r="F6" s="285">
        <v>0</v>
      </c>
      <c r="G6" s="363"/>
      <c r="H6" s="363"/>
      <c r="I6" s="364"/>
      <c r="J6" s="285">
        <v>0</v>
      </c>
      <c r="K6" s="363"/>
      <c r="L6" s="363"/>
      <c r="M6" s="364"/>
      <c r="O6" s="32"/>
      <c r="P6" s="217"/>
      <c r="Q6" s="27"/>
      <c r="R6" s="27"/>
      <c r="S6" s="27"/>
      <c r="T6" s="27"/>
      <c r="U6" s="27"/>
      <c r="V6" s="27"/>
      <c r="W6" s="27"/>
      <c r="X6" s="164"/>
    </row>
    <row r="7" spans="1:24" ht="14.55" customHeight="1" x14ac:dyDescent="0.3">
      <c r="A7" s="49" t="s">
        <v>59</v>
      </c>
      <c r="B7" s="114">
        <f>B6*0.15</f>
        <v>0</v>
      </c>
      <c r="C7" s="356"/>
      <c r="D7" s="356"/>
      <c r="E7" s="357"/>
      <c r="F7" s="114">
        <f>F6*0.15</f>
        <v>0</v>
      </c>
      <c r="G7" s="356"/>
      <c r="H7" s="356"/>
      <c r="I7" s="357"/>
      <c r="J7" s="114">
        <f>J6*0.15</f>
        <v>0</v>
      </c>
      <c r="K7" s="356"/>
      <c r="L7" s="356"/>
      <c r="M7" s="357"/>
      <c r="O7" s="32"/>
      <c r="P7" s="217"/>
      <c r="Q7" s="27"/>
      <c r="R7" s="27"/>
      <c r="S7" s="27"/>
      <c r="T7" s="27"/>
      <c r="U7" s="27"/>
      <c r="V7" s="27"/>
      <c r="W7" s="27"/>
      <c r="X7" s="164"/>
    </row>
    <row r="8" spans="1:24" ht="14.55" customHeight="1" x14ac:dyDescent="0.3">
      <c r="A8" s="49" t="s">
        <v>63</v>
      </c>
      <c r="B8" s="114">
        <f>B6*0.05</f>
        <v>0</v>
      </c>
      <c r="C8" s="356"/>
      <c r="D8" s="356"/>
      <c r="E8" s="357"/>
      <c r="F8" s="114">
        <f>F6*0.05</f>
        <v>0</v>
      </c>
      <c r="G8" s="356"/>
      <c r="H8" s="356"/>
      <c r="I8" s="357"/>
      <c r="J8" s="114">
        <f>J6*0.05</f>
        <v>0</v>
      </c>
      <c r="K8" s="356"/>
      <c r="L8" s="356"/>
      <c r="M8" s="357"/>
      <c r="O8" s="32"/>
      <c r="P8" s="217"/>
      <c r="Q8" s="27"/>
      <c r="R8" s="27"/>
      <c r="S8" s="27"/>
      <c r="T8" s="27"/>
      <c r="U8" s="27"/>
      <c r="V8" s="27"/>
      <c r="W8" s="27"/>
      <c r="X8" s="164"/>
    </row>
    <row r="9" spans="1:24" ht="14.55" customHeight="1" x14ac:dyDescent="0.3">
      <c r="A9" s="49" t="s">
        <v>60</v>
      </c>
      <c r="B9" s="114">
        <v>0</v>
      </c>
      <c r="C9" s="356"/>
      <c r="D9" s="356"/>
      <c r="E9" s="357"/>
      <c r="F9" s="114">
        <f>F6*0.02</f>
        <v>0</v>
      </c>
      <c r="G9" s="356"/>
      <c r="H9" s="356"/>
      <c r="I9" s="357"/>
      <c r="J9" s="114">
        <f>J6*0.02</f>
        <v>0</v>
      </c>
      <c r="K9" s="356"/>
      <c r="L9" s="356"/>
      <c r="M9" s="357"/>
      <c r="O9" s="32"/>
      <c r="P9" s="217"/>
      <c r="Q9" s="27"/>
      <c r="R9" s="27"/>
      <c r="S9" s="27"/>
      <c r="T9" s="27"/>
      <c r="U9" s="27"/>
      <c r="V9" s="27"/>
      <c r="W9" s="27"/>
      <c r="X9" s="164"/>
    </row>
    <row r="10" spans="1:24" ht="14.55" customHeight="1" x14ac:dyDescent="0.3">
      <c r="A10" s="49" t="s">
        <v>61</v>
      </c>
      <c r="B10" s="114">
        <f>B6*0.07</f>
        <v>0</v>
      </c>
      <c r="C10" s="356"/>
      <c r="D10" s="356"/>
      <c r="E10" s="357"/>
      <c r="F10" s="114">
        <f>F6*0.07</f>
        <v>0</v>
      </c>
      <c r="G10" s="356"/>
      <c r="H10" s="356"/>
      <c r="I10" s="357"/>
      <c r="J10" s="114">
        <f>J6*0.07</f>
        <v>0</v>
      </c>
      <c r="K10" s="356"/>
      <c r="L10" s="356"/>
      <c r="M10" s="357"/>
      <c r="O10" s="32"/>
      <c r="P10" s="217"/>
      <c r="Q10" s="27"/>
      <c r="R10" s="27"/>
      <c r="S10" s="27"/>
      <c r="T10" s="27"/>
      <c r="U10" s="27"/>
      <c r="V10" s="27"/>
      <c r="W10" s="27"/>
      <c r="X10" s="164"/>
    </row>
    <row r="11" spans="1:24" ht="14.55" customHeight="1" x14ac:dyDescent="0.3">
      <c r="A11" s="50" t="s">
        <v>62</v>
      </c>
      <c r="B11" s="138">
        <v>0</v>
      </c>
      <c r="C11" s="354"/>
      <c r="D11" s="354"/>
      <c r="E11" s="355"/>
      <c r="F11" s="138">
        <f>F6*0.1</f>
        <v>0</v>
      </c>
      <c r="G11" s="354"/>
      <c r="H11" s="354"/>
      <c r="I11" s="355"/>
      <c r="J11" s="138">
        <f>J6*0.1</f>
        <v>0</v>
      </c>
      <c r="K11" s="354"/>
      <c r="L11" s="354"/>
      <c r="M11" s="355"/>
      <c r="O11" s="32"/>
      <c r="P11" s="217"/>
      <c r="Q11" s="27"/>
      <c r="R11" s="27"/>
      <c r="S11" s="27"/>
      <c r="T11" s="27"/>
      <c r="U11" s="27"/>
      <c r="V11" s="27"/>
      <c r="W11" s="27"/>
      <c r="X11" s="164"/>
    </row>
    <row r="12" spans="1:24" x14ac:dyDescent="0.3">
      <c r="A12" s="69" t="s">
        <v>64</v>
      </c>
      <c r="B12" s="72">
        <f>SUM(B6:B11)</f>
        <v>0</v>
      </c>
      <c r="C12" s="64"/>
      <c r="D12" s="64"/>
      <c r="E12" s="64"/>
      <c r="F12" s="73">
        <f>SUM(F6:F11)</f>
        <v>0</v>
      </c>
      <c r="G12" s="64"/>
      <c r="H12" s="62"/>
      <c r="I12" s="62"/>
      <c r="J12" s="73">
        <f>SUM(J6:J11)</f>
        <v>0</v>
      </c>
      <c r="K12" s="64"/>
      <c r="L12" s="242"/>
      <c r="M12" s="242"/>
      <c r="O12" s="32"/>
      <c r="P12" s="217"/>
      <c r="Q12" s="27"/>
      <c r="R12" s="27"/>
      <c r="S12" s="27"/>
      <c r="T12" s="27"/>
      <c r="U12" s="27"/>
      <c r="V12" s="27"/>
      <c r="W12" s="27"/>
      <c r="X12" s="164"/>
    </row>
    <row r="13" spans="1:24" x14ac:dyDescent="0.3">
      <c r="A13" s="64"/>
      <c r="B13" s="64"/>
      <c r="C13" s="64"/>
      <c r="D13" s="64"/>
      <c r="E13" s="64"/>
      <c r="F13" s="63"/>
      <c r="G13" s="64"/>
      <c r="H13" s="62"/>
      <c r="I13" s="62"/>
      <c r="J13" s="242"/>
      <c r="K13" s="64"/>
      <c r="L13" s="242"/>
      <c r="M13" s="242"/>
      <c r="O13" s="32"/>
      <c r="P13" s="217"/>
      <c r="Q13" s="27"/>
      <c r="R13" s="27"/>
      <c r="S13" s="27"/>
      <c r="T13" s="27"/>
      <c r="U13" s="27"/>
      <c r="V13" s="27"/>
      <c r="W13" s="27"/>
      <c r="X13" s="164"/>
    </row>
    <row r="14" spans="1:24" x14ac:dyDescent="0.3">
      <c r="A14" s="64"/>
      <c r="B14" s="64"/>
      <c r="C14" s="64"/>
      <c r="D14" s="64"/>
      <c r="E14" s="64"/>
      <c r="F14" s="63"/>
      <c r="G14" s="64"/>
      <c r="H14" s="229"/>
      <c r="I14" s="229"/>
      <c r="J14" s="242"/>
      <c r="K14" s="64"/>
      <c r="L14" s="242"/>
      <c r="M14" s="242"/>
      <c r="O14" s="32"/>
      <c r="P14" s="217"/>
      <c r="Q14" s="27"/>
      <c r="R14" s="27"/>
      <c r="S14" s="27"/>
      <c r="T14" s="27"/>
      <c r="U14" s="27"/>
      <c r="V14" s="27"/>
      <c r="W14" s="27"/>
      <c r="X14" s="164"/>
    </row>
    <row r="15" spans="1:24" ht="15.6" x14ac:dyDescent="0.3">
      <c r="A15" s="45"/>
      <c r="B15" s="137" t="s">
        <v>214</v>
      </c>
      <c r="C15" s="358" t="s">
        <v>18</v>
      </c>
      <c r="D15" s="358"/>
      <c r="E15" s="359"/>
      <c r="F15" s="137" t="s">
        <v>215</v>
      </c>
      <c r="G15" s="358" t="s">
        <v>18</v>
      </c>
      <c r="H15" s="358"/>
      <c r="I15" s="359"/>
      <c r="J15" s="137" t="s">
        <v>216</v>
      </c>
      <c r="K15" s="358" t="s">
        <v>18</v>
      </c>
      <c r="L15" s="358"/>
      <c r="M15" s="359"/>
      <c r="O15" s="32"/>
      <c r="P15" s="163"/>
      <c r="Q15" s="27"/>
      <c r="R15" s="27"/>
      <c r="S15" s="27"/>
      <c r="T15" s="27"/>
      <c r="U15" s="27"/>
      <c r="V15" s="27"/>
      <c r="W15" s="27"/>
      <c r="X15" s="164"/>
    </row>
    <row r="16" spans="1:24" x14ac:dyDescent="0.3">
      <c r="A16" s="48" t="s">
        <v>58</v>
      </c>
      <c r="B16" s="285">
        <v>0</v>
      </c>
      <c r="C16" s="363"/>
      <c r="D16" s="363"/>
      <c r="E16" s="364"/>
      <c r="F16" s="285">
        <v>0</v>
      </c>
      <c r="G16" s="363"/>
      <c r="H16" s="363"/>
      <c r="I16" s="364"/>
      <c r="J16" s="285">
        <v>0</v>
      </c>
      <c r="K16" s="363"/>
      <c r="L16" s="363"/>
      <c r="M16" s="364"/>
      <c r="O16" s="32"/>
      <c r="P16" s="163"/>
      <c r="Q16" s="27"/>
      <c r="R16" s="27"/>
      <c r="S16" s="27"/>
      <c r="T16" s="27"/>
      <c r="U16" s="27"/>
      <c r="V16" s="27"/>
      <c r="W16" s="27"/>
      <c r="X16" s="164"/>
    </row>
    <row r="17" spans="1:24" x14ac:dyDescent="0.3">
      <c r="A17" s="49" t="s">
        <v>59</v>
      </c>
      <c r="B17" s="114">
        <f>B16*0.15</f>
        <v>0</v>
      </c>
      <c r="C17" s="356"/>
      <c r="D17" s="356"/>
      <c r="E17" s="357"/>
      <c r="F17" s="114">
        <f>F16*0.15</f>
        <v>0</v>
      </c>
      <c r="G17" s="356"/>
      <c r="H17" s="356"/>
      <c r="I17" s="357"/>
      <c r="J17" s="114">
        <f>J16*0.15</f>
        <v>0</v>
      </c>
      <c r="K17" s="356"/>
      <c r="L17" s="356"/>
      <c r="M17" s="357"/>
      <c r="O17" s="32"/>
      <c r="P17" s="163"/>
      <c r="Q17" s="27"/>
      <c r="R17" s="27"/>
      <c r="S17" s="27"/>
      <c r="T17" s="27"/>
      <c r="U17" s="27"/>
      <c r="V17" s="27"/>
      <c r="W17" s="27"/>
      <c r="X17" s="164"/>
    </row>
    <row r="18" spans="1:24" x14ac:dyDescent="0.3">
      <c r="A18" s="49" t="s">
        <v>63</v>
      </c>
      <c r="B18" s="114">
        <f>B16*0.05</f>
        <v>0</v>
      </c>
      <c r="C18" s="356"/>
      <c r="D18" s="356"/>
      <c r="E18" s="357"/>
      <c r="F18" s="114">
        <f>F16*0.05</f>
        <v>0</v>
      </c>
      <c r="G18" s="356"/>
      <c r="H18" s="356"/>
      <c r="I18" s="357"/>
      <c r="J18" s="114">
        <f>J16*0.05</f>
        <v>0</v>
      </c>
      <c r="K18" s="356"/>
      <c r="L18" s="356"/>
      <c r="M18" s="357"/>
      <c r="O18" s="32"/>
      <c r="P18" s="163"/>
      <c r="Q18" s="27"/>
      <c r="R18" s="27"/>
      <c r="S18" s="27"/>
      <c r="T18" s="27"/>
      <c r="U18" s="27"/>
      <c r="V18" s="27"/>
      <c r="W18" s="27"/>
      <c r="X18" s="164"/>
    </row>
    <row r="19" spans="1:24" ht="15" thickBot="1" x14ac:dyDescent="0.35">
      <c r="A19" s="49" t="s">
        <v>60</v>
      </c>
      <c r="B19" s="114">
        <f>B16*0.02</f>
        <v>0</v>
      </c>
      <c r="C19" s="356"/>
      <c r="D19" s="356"/>
      <c r="E19" s="357"/>
      <c r="F19" s="114">
        <f>F16*0.02</f>
        <v>0</v>
      </c>
      <c r="G19" s="356"/>
      <c r="H19" s="356"/>
      <c r="I19" s="357"/>
      <c r="J19" s="114">
        <f>J16*0.02</f>
        <v>0</v>
      </c>
      <c r="K19" s="356"/>
      <c r="L19" s="356"/>
      <c r="M19" s="357"/>
      <c r="O19" s="32"/>
      <c r="P19" s="125"/>
      <c r="Q19" s="126"/>
      <c r="R19" s="126"/>
      <c r="S19" s="126"/>
      <c r="T19" s="126"/>
      <c r="U19" s="126"/>
      <c r="V19" s="126"/>
      <c r="W19" s="126"/>
      <c r="X19" s="127"/>
    </row>
    <row r="20" spans="1:24" ht="15" thickTop="1" x14ac:dyDescent="0.3">
      <c r="A20" s="49" t="s">
        <v>61</v>
      </c>
      <c r="B20" s="114">
        <f>B16*0.07</f>
        <v>0</v>
      </c>
      <c r="C20" s="356"/>
      <c r="D20" s="356"/>
      <c r="E20" s="357"/>
      <c r="F20" s="114">
        <f>F16*0.07</f>
        <v>0</v>
      </c>
      <c r="G20" s="356"/>
      <c r="H20" s="356"/>
      <c r="I20" s="357"/>
      <c r="J20" s="114">
        <f>J16*0.07</f>
        <v>0</v>
      </c>
      <c r="K20" s="356"/>
      <c r="L20" s="356"/>
      <c r="M20" s="357"/>
      <c r="O20" s="32"/>
      <c r="P20" s="221"/>
      <c r="Q20" s="222"/>
      <c r="R20" s="222"/>
      <c r="S20" s="222"/>
      <c r="T20" s="222"/>
      <c r="U20" s="222"/>
      <c r="V20" s="222"/>
      <c r="W20" s="222"/>
      <c r="X20" s="216"/>
    </row>
    <row r="21" spans="1:24" ht="17.399999999999999" x14ac:dyDescent="0.35">
      <c r="A21" s="50" t="s">
        <v>62</v>
      </c>
      <c r="B21" s="138">
        <f>B16*0.1</f>
        <v>0</v>
      </c>
      <c r="C21" s="354"/>
      <c r="D21" s="354"/>
      <c r="E21" s="355"/>
      <c r="F21" s="138">
        <f>F16*0.1</f>
        <v>0</v>
      </c>
      <c r="G21" s="354"/>
      <c r="H21" s="354"/>
      <c r="I21" s="355"/>
      <c r="J21" s="138">
        <f>J16*0.1</f>
        <v>0</v>
      </c>
      <c r="K21" s="354"/>
      <c r="L21" s="354"/>
      <c r="M21" s="355"/>
      <c r="O21" s="32"/>
      <c r="P21" s="163"/>
      <c r="Q21" s="218" t="s">
        <v>211</v>
      </c>
      <c r="R21" s="27"/>
      <c r="S21" s="27"/>
      <c r="T21" s="27"/>
      <c r="U21" s="27"/>
      <c r="V21" s="27"/>
      <c r="W21" s="27"/>
      <c r="X21" s="164"/>
    </row>
    <row r="22" spans="1:24" x14ac:dyDescent="0.3">
      <c r="A22" s="69" t="s">
        <v>64</v>
      </c>
      <c r="B22" s="72">
        <f>SUM(B16:B21)</f>
        <v>0</v>
      </c>
      <c r="C22" s="64"/>
      <c r="D22" s="64"/>
      <c r="E22" s="64"/>
      <c r="F22" s="73">
        <f>SUM(F16:F21)</f>
        <v>0</v>
      </c>
      <c r="G22" s="64"/>
      <c r="H22" s="229"/>
      <c r="I22" s="229"/>
      <c r="J22" s="73">
        <f>SUM(J16:J21)</f>
        <v>0</v>
      </c>
      <c r="K22" s="242"/>
      <c r="L22" s="242"/>
      <c r="M22" s="242"/>
      <c r="O22" s="32"/>
      <c r="P22" s="163"/>
      <c r="X22" s="164"/>
    </row>
    <row r="23" spans="1:24" x14ac:dyDescent="0.3">
      <c r="A23" s="64"/>
      <c r="B23" s="64"/>
      <c r="C23" s="64"/>
      <c r="D23" s="64"/>
      <c r="E23" s="64"/>
      <c r="F23" s="63"/>
      <c r="G23" s="64"/>
      <c r="H23" s="229"/>
      <c r="I23" s="229"/>
      <c r="J23" s="242"/>
      <c r="K23" s="229"/>
      <c r="L23" s="229"/>
      <c r="M23" s="229"/>
      <c r="N23" s="229"/>
      <c r="O23" s="32"/>
      <c r="P23" s="163"/>
      <c r="R23" s="351" t="s">
        <v>212</v>
      </c>
      <c r="S23" s="352"/>
      <c r="T23" s="352"/>
      <c r="U23" s="352"/>
      <c r="V23" s="352"/>
      <c r="W23" s="353"/>
      <c r="X23" s="164"/>
    </row>
    <row r="24" spans="1:24" x14ac:dyDescent="0.3">
      <c r="A24" s="64"/>
      <c r="B24" s="64"/>
      <c r="C24" s="64"/>
      <c r="D24" s="64"/>
      <c r="E24" s="64"/>
      <c r="F24" s="63"/>
      <c r="G24" s="64"/>
      <c r="H24" s="229"/>
      <c r="I24" s="229"/>
      <c r="J24" s="242"/>
      <c r="K24" s="229"/>
      <c r="L24" s="229"/>
      <c r="M24" s="229"/>
      <c r="N24" s="229"/>
      <c r="O24" s="32"/>
      <c r="P24" s="163"/>
      <c r="R24" s="108" t="s">
        <v>205</v>
      </c>
      <c r="S24" s="109" t="s">
        <v>206</v>
      </c>
      <c r="T24" s="109" t="s">
        <v>145</v>
      </c>
      <c r="U24" s="109" t="s">
        <v>146</v>
      </c>
      <c r="V24" s="109" t="s">
        <v>147</v>
      </c>
      <c r="W24" s="110" t="s">
        <v>243</v>
      </c>
      <c r="X24" s="164"/>
    </row>
    <row r="25" spans="1:24" x14ac:dyDescent="0.3">
      <c r="A25" s="64"/>
      <c r="B25" s="64"/>
      <c r="C25" s="64"/>
      <c r="D25" s="64"/>
      <c r="E25" s="64"/>
      <c r="F25" s="63"/>
      <c r="G25" s="64"/>
      <c r="H25" s="62"/>
      <c r="I25" s="62"/>
      <c r="J25" s="242"/>
      <c r="K25" s="62"/>
      <c r="L25" s="62"/>
      <c r="M25" s="62"/>
      <c r="N25" s="62"/>
      <c r="O25" s="32"/>
      <c r="P25" s="163"/>
      <c r="R25" s="104">
        <f>B42</f>
        <v>43921</v>
      </c>
      <c r="S25" s="60">
        <f>F42</f>
        <v>44285</v>
      </c>
      <c r="T25" s="60">
        <f>K42</f>
        <v>44650</v>
      </c>
      <c r="U25" s="60">
        <f t="shared" ref="U25" si="0">EDATE(T25,12)</f>
        <v>45015</v>
      </c>
      <c r="V25" s="60">
        <f t="shared" ref="V25" si="1">EDATE(U25,12)</f>
        <v>45381</v>
      </c>
      <c r="W25" s="107">
        <f t="shared" ref="W25" si="2">EDATE(V25,12)</f>
        <v>45746</v>
      </c>
      <c r="X25" s="164"/>
    </row>
    <row r="26" spans="1:24" ht="19.8" x14ac:dyDescent="0.4">
      <c r="A26" s="41" t="s">
        <v>65</v>
      </c>
      <c r="O26" s="32"/>
      <c r="P26" s="163"/>
      <c r="Q26" s="212" t="str">
        <f t="shared" ref="Q26:Q27" si="3">A43</f>
        <v>Founders  (first year)</v>
      </c>
      <c r="R26" s="275">
        <f>SUM(B43:E43)</f>
        <v>0</v>
      </c>
      <c r="S26" s="276">
        <f t="shared" ref="S26:S27" si="4">SUM(F43:I43)</f>
        <v>0</v>
      </c>
      <c r="T26" s="276">
        <f t="shared" ref="T26:T27" si="5">K43</f>
        <v>0</v>
      </c>
      <c r="U26" s="276">
        <f t="shared" ref="U26:W27" si="6">L43</f>
        <v>0</v>
      </c>
      <c r="V26" s="276">
        <f t="shared" si="6"/>
        <v>0</v>
      </c>
      <c r="W26" s="277">
        <f t="shared" si="6"/>
        <v>0</v>
      </c>
      <c r="X26" s="164"/>
    </row>
    <row r="27" spans="1:24" x14ac:dyDescent="0.3">
      <c r="A27" s="36"/>
      <c r="B27" s="343" t="s">
        <v>160</v>
      </c>
      <c r="C27" s="344"/>
      <c r="D27" s="344"/>
      <c r="E27" s="344"/>
      <c r="F27" s="344"/>
      <c r="G27" s="344"/>
      <c r="H27" s="344"/>
      <c r="I27" s="345"/>
      <c r="J27" s="243"/>
      <c r="K27" s="351" t="s">
        <v>161</v>
      </c>
      <c r="L27" s="352"/>
      <c r="M27" s="352"/>
      <c r="N27" s="353"/>
      <c r="O27" s="32"/>
      <c r="P27" s="163"/>
      <c r="Q27" s="212" t="str">
        <f t="shared" si="3"/>
        <v>Founders (later years)</v>
      </c>
      <c r="R27" s="278"/>
      <c r="S27" s="276">
        <f t="shared" si="4"/>
        <v>0</v>
      </c>
      <c r="T27" s="276">
        <f t="shared" si="5"/>
        <v>0</v>
      </c>
      <c r="U27" s="276">
        <f t="shared" si="6"/>
        <v>0</v>
      </c>
      <c r="V27" s="276">
        <f t="shared" si="6"/>
        <v>0</v>
      </c>
      <c r="W27" s="277">
        <f t="shared" si="6"/>
        <v>0</v>
      </c>
      <c r="X27" s="164"/>
    </row>
    <row r="28" spans="1:24" x14ac:dyDescent="0.3">
      <c r="A28" s="36"/>
      <c r="B28" s="346" t="s">
        <v>205</v>
      </c>
      <c r="C28" s="347"/>
      <c r="D28" s="347"/>
      <c r="E28" s="348"/>
      <c r="F28" s="349" t="s">
        <v>206</v>
      </c>
      <c r="G28" s="347"/>
      <c r="H28" s="347"/>
      <c r="I28" s="350"/>
      <c r="J28" s="243"/>
      <c r="K28" s="108" t="s">
        <v>145</v>
      </c>
      <c r="L28" s="109" t="s">
        <v>146</v>
      </c>
      <c r="M28" s="109" t="s">
        <v>147</v>
      </c>
      <c r="N28" s="110" t="s">
        <v>243</v>
      </c>
      <c r="O28" s="32"/>
      <c r="P28" s="163"/>
      <c r="Q28" s="212" t="s">
        <v>255</v>
      </c>
      <c r="R28" s="278">
        <f>R26</f>
        <v>0</v>
      </c>
      <c r="S28" s="278">
        <f>S27</f>
        <v>0</v>
      </c>
      <c r="T28" s="278">
        <f>T27</f>
        <v>0</v>
      </c>
      <c r="U28" s="278">
        <f>U27</f>
        <v>0</v>
      </c>
      <c r="V28" s="278">
        <f>V27</f>
        <v>0</v>
      </c>
      <c r="W28" s="278">
        <f>W27</f>
        <v>0</v>
      </c>
      <c r="X28" s="164"/>
    </row>
    <row r="29" spans="1:24" x14ac:dyDescent="0.3">
      <c r="A29" s="70"/>
      <c r="B29" s="139">
        <f>StartDate</f>
        <v>43921</v>
      </c>
      <c r="C29" s="71">
        <f>EDATE(B29,3)</f>
        <v>44012</v>
      </c>
      <c r="D29" s="71">
        <f t="shared" ref="D29" si="7">EDATE(C29,3)</f>
        <v>44104</v>
      </c>
      <c r="E29" s="71">
        <f t="shared" ref="E29" si="8">EDATE(D29,3)</f>
        <v>44195</v>
      </c>
      <c r="F29" s="71">
        <f t="shared" ref="F29" si="9">EDATE(E29,3)</f>
        <v>44285</v>
      </c>
      <c r="G29" s="71">
        <f t="shared" ref="G29" si="10">EDATE(F29,3)</f>
        <v>44377</v>
      </c>
      <c r="H29" s="71">
        <f t="shared" ref="H29" si="11">EDATE(G29,3)</f>
        <v>44469</v>
      </c>
      <c r="I29" s="142">
        <f t="shared" ref="I29" si="12">EDATE(H29,3)</f>
        <v>44560</v>
      </c>
      <c r="J29" s="243"/>
      <c r="K29" s="139">
        <f>EDATE(I29,3)</f>
        <v>44650</v>
      </c>
      <c r="L29" s="71">
        <f t="shared" ref="L29" si="13">EDATE(K29,12)</f>
        <v>45015</v>
      </c>
      <c r="M29" s="71">
        <f t="shared" ref="M29:N29" si="14">EDATE(L29,12)</f>
        <v>45381</v>
      </c>
      <c r="N29" s="140">
        <f t="shared" si="14"/>
        <v>45746</v>
      </c>
      <c r="P29" s="163"/>
      <c r="Q29" s="212" t="str">
        <f>A45</f>
        <v>Engineers</v>
      </c>
      <c r="R29" s="275">
        <f>SUM(B45:E45)</f>
        <v>0</v>
      </c>
      <c r="S29" s="276">
        <f>SUM(F45:I45)</f>
        <v>0</v>
      </c>
      <c r="T29" s="276">
        <f t="shared" ref="T29:W32" si="15">K45</f>
        <v>0</v>
      </c>
      <c r="U29" s="276">
        <f t="shared" si="15"/>
        <v>0</v>
      </c>
      <c r="V29" s="276">
        <f t="shared" si="15"/>
        <v>0</v>
      </c>
      <c r="W29" s="277">
        <f t="shared" si="15"/>
        <v>0</v>
      </c>
      <c r="X29" s="164"/>
    </row>
    <row r="30" spans="1:24" x14ac:dyDescent="0.3">
      <c r="A30" s="42" t="str">
        <f>B5</f>
        <v>Founders  (first year)</v>
      </c>
      <c r="B30" s="309">
        <v>0</v>
      </c>
      <c r="C30" s="310">
        <v>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1"/>
      <c r="J30" s="243"/>
      <c r="K30" s="309"/>
      <c r="L30" s="310"/>
      <c r="M30" s="310"/>
      <c r="N30" s="311"/>
      <c r="O30" s="32"/>
      <c r="P30" s="163"/>
      <c r="Q30" s="212" t="str">
        <f>A46</f>
        <v>Sales</v>
      </c>
      <c r="R30" s="275">
        <f>SUM(B46:E46)</f>
        <v>0</v>
      </c>
      <c r="S30" s="276">
        <f>SUM(F46:I46)</f>
        <v>0</v>
      </c>
      <c r="T30" s="276">
        <f t="shared" si="15"/>
        <v>0</v>
      </c>
      <c r="U30" s="276">
        <f t="shared" si="15"/>
        <v>0</v>
      </c>
      <c r="V30" s="276">
        <f t="shared" si="15"/>
        <v>0</v>
      </c>
      <c r="W30" s="277">
        <f t="shared" si="15"/>
        <v>0</v>
      </c>
      <c r="X30" s="164"/>
    </row>
    <row r="31" spans="1:24" s="61" customFormat="1" x14ac:dyDescent="0.3">
      <c r="A31" s="42" t="str">
        <f>F5</f>
        <v>Founders (later years)</v>
      </c>
      <c r="B31" s="309">
        <v>0</v>
      </c>
      <c r="C31" s="310">
        <v>0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1">
        <v>0</v>
      </c>
      <c r="J31" s="243"/>
      <c r="K31" s="309">
        <v>0</v>
      </c>
      <c r="L31" s="310">
        <f t="shared" ref="L31:N31" si="16">K31</f>
        <v>0</v>
      </c>
      <c r="M31" s="310">
        <f t="shared" si="16"/>
        <v>0</v>
      </c>
      <c r="N31" s="311">
        <f t="shared" si="16"/>
        <v>0</v>
      </c>
      <c r="P31" s="163"/>
      <c r="Q31" s="212" t="str">
        <f>A47</f>
        <v>Admin</v>
      </c>
      <c r="R31" s="275">
        <f>SUM(B47:E47)</f>
        <v>0</v>
      </c>
      <c r="S31" s="276">
        <f>SUM(F47:I47)</f>
        <v>0</v>
      </c>
      <c r="T31" s="276">
        <f t="shared" si="15"/>
        <v>0</v>
      </c>
      <c r="U31" s="276">
        <f t="shared" si="15"/>
        <v>0</v>
      </c>
      <c r="V31" s="276">
        <f t="shared" si="15"/>
        <v>0</v>
      </c>
      <c r="W31" s="277">
        <f t="shared" si="15"/>
        <v>0</v>
      </c>
      <c r="X31" s="164"/>
    </row>
    <row r="32" spans="1:24" ht="15" thickBot="1" x14ac:dyDescent="0.35">
      <c r="A32" s="42" t="str">
        <f>J5</f>
        <v>Engineers</v>
      </c>
      <c r="B32" s="309">
        <v>0</v>
      </c>
      <c r="C32" s="310">
        <v>0</v>
      </c>
      <c r="D32" s="310">
        <v>0</v>
      </c>
      <c r="E32" s="310">
        <v>0</v>
      </c>
      <c r="F32" s="310">
        <v>0</v>
      </c>
      <c r="G32" s="310">
        <v>0</v>
      </c>
      <c r="H32" s="310">
        <v>0</v>
      </c>
      <c r="I32" s="311">
        <v>0</v>
      </c>
      <c r="J32" s="243"/>
      <c r="K32" s="309">
        <v>0</v>
      </c>
      <c r="L32" s="310">
        <v>0</v>
      </c>
      <c r="M32" s="310">
        <v>0</v>
      </c>
      <c r="N32" s="311">
        <v>0</v>
      </c>
      <c r="P32" s="163"/>
      <c r="Q32" s="212" t="str">
        <f>A48</f>
        <v>Finance</v>
      </c>
      <c r="R32" s="279">
        <f>SUM(B48:E48)</f>
        <v>0</v>
      </c>
      <c r="S32" s="280">
        <f>SUM(F48:I48)</f>
        <v>0</v>
      </c>
      <c r="T32" s="280">
        <f t="shared" si="15"/>
        <v>0</v>
      </c>
      <c r="U32" s="280">
        <f t="shared" si="15"/>
        <v>0</v>
      </c>
      <c r="V32" s="280">
        <f t="shared" si="15"/>
        <v>0</v>
      </c>
      <c r="W32" s="281">
        <f t="shared" si="15"/>
        <v>0</v>
      </c>
      <c r="X32" s="164"/>
    </row>
    <row r="33" spans="1:24" ht="15" thickTop="1" x14ac:dyDescent="0.3">
      <c r="A33" s="42" t="str">
        <f>B15</f>
        <v>Sales</v>
      </c>
      <c r="B33" s="309">
        <v>0</v>
      </c>
      <c r="C33" s="310">
        <v>0</v>
      </c>
      <c r="D33" s="310">
        <v>0</v>
      </c>
      <c r="E33" s="310">
        <v>0</v>
      </c>
      <c r="F33" s="310">
        <v>0</v>
      </c>
      <c r="G33" s="310">
        <v>0</v>
      </c>
      <c r="H33" s="310">
        <v>0</v>
      </c>
      <c r="I33" s="311">
        <v>0</v>
      </c>
      <c r="J33" s="243"/>
      <c r="K33" s="309">
        <v>0</v>
      </c>
      <c r="L33" s="310">
        <v>0</v>
      </c>
      <c r="M33" s="310">
        <v>0</v>
      </c>
      <c r="N33" s="311">
        <v>0</v>
      </c>
      <c r="P33" s="163"/>
      <c r="R33" s="282">
        <f t="shared" ref="R33:W33" si="17">SUM(R28:R32)</f>
        <v>0</v>
      </c>
      <c r="S33" s="282">
        <f t="shared" si="17"/>
        <v>0</v>
      </c>
      <c r="T33" s="282">
        <f t="shared" si="17"/>
        <v>0</v>
      </c>
      <c r="U33" s="282">
        <f t="shared" si="17"/>
        <v>0</v>
      </c>
      <c r="V33" s="282">
        <f t="shared" si="17"/>
        <v>0</v>
      </c>
      <c r="W33" s="282">
        <f t="shared" si="17"/>
        <v>0</v>
      </c>
      <c r="X33" s="164"/>
    </row>
    <row r="34" spans="1:24" x14ac:dyDescent="0.3">
      <c r="A34" s="42" t="str">
        <f>F15</f>
        <v>Admin</v>
      </c>
      <c r="B34" s="309">
        <v>0</v>
      </c>
      <c r="C34" s="310">
        <v>0</v>
      </c>
      <c r="D34" s="310">
        <v>0</v>
      </c>
      <c r="E34" s="310">
        <v>0</v>
      </c>
      <c r="F34" s="310">
        <v>0</v>
      </c>
      <c r="G34" s="310">
        <v>0</v>
      </c>
      <c r="H34" s="310">
        <v>0</v>
      </c>
      <c r="I34" s="311">
        <v>0</v>
      </c>
      <c r="J34" s="243"/>
      <c r="K34" s="309">
        <v>0</v>
      </c>
      <c r="L34" s="310">
        <v>0</v>
      </c>
      <c r="M34" s="310">
        <v>0</v>
      </c>
      <c r="N34" s="311">
        <v>0</v>
      </c>
      <c r="P34" s="163"/>
      <c r="Q34" s="27"/>
      <c r="R34" s="27"/>
      <c r="S34" s="27"/>
      <c r="T34" s="27"/>
      <c r="U34" s="27"/>
      <c r="V34" s="27"/>
      <c r="W34" s="27"/>
      <c r="X34" s="164"/>
    </row>
    <row r="35" spans="1:24" ht="15" thickBot="1" x14ac:dyDescent="0.35">
      <c r="A35" s="43" t="str">
        <f>J15</f>
        <v>Finance</v>
      </c>
      <c r="B35" s="312">
        <v>0</v>
      </c>
      <c r="C35" s="313">
        <v>0</v>
      </c>
      <c r="D35" s="313">
        <v>0</v>
      </c>
      <c r="E35" s="313">
        <v>0</v>
      </c>
      <c r="F35" s="313">
        <v>0</v>
      </c>
      <c r="G35" s="313">
        <v>0</v>
      </c>
      <c r="H35" s="313">
        <v>0</v>
      </c>
      <c r="I35" s="314">
        <v>0</v>
      </c>
      <c r="J35" s="243"/>
      <c r="K35" s="312">
        <v>0</v>
      </c>
      <c r="L35" s="313">
        <v>0</v>
      </c>
      <c r="M35" s="313">
        <v>0</v>
      </c>
      <c r="N35" s="314">
        <v>0</v>
      </c>
      <c r="P35" s="163"/>
      <c r="X35" s="164"/>
    </row>
    <row r="36" spans="1:24" ht="15" thickTop="1" x14ac:dyDescent="0.3">
      <c r="A36" s="44" t="s">
        <v>13</v>
      </c>
      <c r="B36" s="124">
        <f>SUM(B30:B35)</f>
        <v>0</v>
      </c>
      <c r="C36" s="53">
        <f t="shared" ref="C36:N36" si="18">SUM(C30:C35)</f>
        <v>0</v>
      </c>
      <c r="D36" s="53">
        <f t="shared" si="18"/>
        <v>0</v>
      </c>
      <c r="E36" s="53">
        <f t="shared" si="18"/>
        <v>0</v>
      </c>
      <c r="F36" s="53">
        <f t="shared" si="18"/>
        <v>0</v>
      </c>
      <c r="G36" s="53">
        <f t="shared" si="18"/>
        <v>0</v>
      </c>
      <c r="H36" s="53">
        <f t="shared" si="18"/>
        <v>0</v>
      </c>
      <c r="I36" s="103">
        <f t="shared" si="18"/>
        <v>0</v>
      </c>
      <c r="J36" s="243"/>
      <c r="K36" s="124">
        <f t="shared" si="18"/>
        <v>0</v>
      </c>
      <c r="L36" s="53">
        <f t="shared" si="18"/>
        <v>0</v>
      </c>
      <c r="M36" s="53">
        <f t="shared" si="18"/>
        <v>0</v>
      </c>
      <c r="N36" s="103">
        <f t="shared" si="18"/>
        <v>0</v>
      </c>
      <c r="P36" s="163"/>
      <c r="Q36" s="27"/>
      <c r="R36" s="27"/>
      <c r="S36" s="27"/>
      <c r="T36" s="27"/>
      <c r="U36" s="27"/>
      <c r="V36" s="27"/>
      <c r="W36" s="27"/>
      <c r="X36" s="164"/>
    </row>
    <row r="37" spans="1:24" x14ac:dyDescent="0.3">
      <c r="P37" s="163"/>
      <c r="Q37" s="27"/>
      <c r="R37" s="27"/>
      <c r="S37" s="27"/>
      <c r="T37" s="27"/>
      <c r="U37" s="27"/>
      <c r="V37" s="27"/>
      <c r="W37" s="27"/>
      <c r="X37" s="164"/>
    </row>
    <row r="38" spans="1:24" x14ac:dyDescent="0.3">
      <c r="P38" s="163"/>
      <c r="Q38" s="27"/>
      <c r="R38" s="27"/>
      <c r="S38" s="27"/>
      <c r="T38" s="27"/>
      <c r="U38" s="27"/>
      <c r="V38" s="27"/>
      <c r="W38" s="27"/>
      <c r="X38" s="164"/>
    </row>
    <row r="39" spans="1:24" ht="19.8" x14ac:dyDescent="0.4">
      <c r="A39" s="41" t="s">
        <v>66</v>
      </c>
      <c r="P39" s="163"/>
      <c r="Q39" s="27"/>
      <c r="R39" s="27"/>
      <c r="S39" s="27"/>
      <c r="T39" s="27"/>
      <c r="U39" s="27"/>
      <c r="V39" s="27"/>
      <c r="W39" s="27"/>
      <c r="X39" s="164"/>
    </row>
    <row r="40" spans="1:24" x14ac:dyDescent="0.3">
      <c r="A40" s="36"/>
      <c r="B40" s="343" t="s">
        <v>162</v>
      </c>
      <c r="C40" s="344"/>
      <c r="D40" s="344"/>
      <c r="E40" s="344"/>
      <c r="F40" s="344"/>
      <c r="G40" s="344"/>
      <c r="H40" s="344"/>
      <c r="I40" s="345"/>
      <c r="J40" s="243"/>
      <c r="K40" s="351" t="s">
        <v>163</v>
      </c>
      <c r="L40" s="352"/>
      <c r="M40" s="352"/>
      <c r="N40" s="353"/>
      <c r="P40" s="163"/>
      <c r="Q40" s="27"/>
      <c r="R40" s="27"/>
      <c r="S40" s="27"/>
      <c r="T40" s="27"/>
      <c r="U40" s="27"/>
      <c r="V40" s="27"/>
      <c r="W40" s="27"/>
      <c r="X40" s="164"/>
    </row>
    <row r="41" spans="1:24" x14ac:dyDescent="0.3">
      <c r="A41" s="36"/>
      <c r="B41" s="346" t="s">
        <v>205</v>
      </c>
      <c r="C41" s="347"/>
      <c r="D41" s="347"/>
      <c r="E41" s="348"/>
      <c r="F41" s="349" t="s">
        <v>206</v>
      </c>
      <c r="G41" s="347"/>
      <c r="H41" s="347"/>
      <c r="I41" s="350"/>
      <c r="J41" s="243"/>
      <c r="K41" s="108" t="s">
        <v>145</v>
      </c>
      <c r="L41" s="109" t="s">
        <v>146</v>
      </c>
      <c r="M41" s="109" t="s">
        <v>147</v>
      </c>
      <c r="N41" s="110" t="s">
        <v>243</v>
      </c>
      <c r="P41" s="163"/>
      <c r="Q41" s="27"/>
      <c r="R41" s="27"/>
      <c r="S41" s="27"/>
      <c r="T41" s="27"/>
      <c r="U41" s="27"/>
      <c r="V41" s="27"/>
      <c r="W41" s="27"/>
      <c r="X41" s="164"/>
    </row>
    <row r="42" spans="1:24" x14ac:dyDescent="0.3">
      <c r="A42" s="59"/>
      <c r="B42" s="104">
        <f>StartDate</f>
        <v>43921</v>
      </c>
      <c r="C42" s="60">
        <f>EDATE(B42,3)</f>
        <v>44012</v>
      </c>
      <c r="D42" s="60">
        <f t="shared" ref="D42" si="19">EDATE(C42,3)</f>
        <v>44104</v>
      </c>
      <c r="E42" s="60">
        <f t="shared" ref="E42" si="20">EDATE(D42,3)</f>
        <v>44195</v>
      </c>
      <c r="F42" s="60">
        <f t="shared" ref="F42" si="21">EDATE(E42,3)</f>
        <v>44285</v>
      </c>
      <c r="G42" s="60">
        <f t="shared" ref="G42" si="22">EDATE(F42,3)</f>
        <v>44377</v>
      </c>
      <c r="H42" s="60">
        <f t="shared" ref="H42" si="23">EDATE(G42,3)</f>
        <v>44469</v>
      </c>
      <c r="I42" s="100">
        <f t="shared" ref="I42" si="24">EDATE(H42,3)</f>
        <v>44560</v>
      </c>
      <c r="J42" s="243"/>
      <c r="K42" s="104">
        <f>EDATE(I42,3)</f>
        <v>44650</v>
      </c>
      <c r="L42" s="60">
        <f t="shared" ref="L42" si="25">EDATE(K42,12)</f>
        <v>45015</v>
      </c>
      <c r="M42" s="60">
        <f t="shared" ref="M42:N42" si="26">EDATE(L42,12)</f>
        <v>45381</v>
      </c>
      <c r="N42" s="107">
        <f t="shared" si="26"/>
        <v>45746</v>
      </c>
      <c r="P42" s="163"/>
      <c r="Q42" s="27"/>
      <c r="R42" s="27"/>
      <c r="S42" s="27"/>
      <c r="T42" s="27"/>
      <c r="U42" s="27"/>
      <c r="V42" s="27"/>
      <c r="W42" s="27"/>
      <c r="X42" s="164"/>
    </row>
    <row r="43" spans="1:24" x14ac:dyDescent="0.3">
      <c r="A43" s="42" t="str">
        <f>A30</f>
        <v>Founders  (first year)</v>
      </c>
      <c r="B43" s="120">
        <f>$B$12*B30/4</f>
        <v>0</v>
      </c>
      <c r="C43" s="51">
        <f t="shared" ref="C43:I43" si="27">$B$12*C30/4</f>
        <v>0</v>
      </c>
      <c r="D43" s="51">
        <f t="shared" si="27"/>
        <v>0</v>
      </c>
      <c r="E43" s="51">
        <f t="shared" si="27"/>
        <v>0</v>
      </c>
      <c r="F43" s="51">
        <f t="shared" si="27"/>
        <v>0</v>
      </c>
      <c r="G43" s="51">
        <f t="shared" si="27"/>
        <v>0</v>
      </c>
      <c r="H43" s="51">
        <f t="shared" si="27"/>
        <v>0</v>
      </c>
      <c r="I43" s="121">
        <f t="shared" si="27"/>
        <v>0</v>
      </c>
      <c r="J43" s="243"/>
      <c r="K43" s="120">
        <f>$B$12*K30</f>
        <v>0</v>
      </c>
      <c r="L43" s="51">
        <f t="shared" ref="L43:N43" si="28">$B$12*L30</f>
        <v>0</v>
      </c>
      <c r="M43" s="51">
        <f t="shared" si="28"/>
        <v>0</v>
      </c>
      <c r="N43" s="121">
        <f t="shared" si="28"/>
        <v>0</v>
      </c>
      <c r="P43" s="163"/>
      <c r="Q43" s="27"/>
      <c r="R43" s="27"/>
      <c r="S43" s="27"/>
      <c r="T43" s="27"/>
      <c r="U43" s="27"/>
      <c r="V43" s="27"/>
      <c r="W43" s="27"/>
      <c r="X43" s="164"/>
    </row>
    <row r="44" spans="1:24" x14ac:dyDescent="0.3">
      <c r="A44" s="42" t="str">
        <f t="shared" ref="A44:A48" si="29">A31</f>
        <v>Founders (later years)</v>
      </c>
      <c r="B44" s="120">
        <f>$F$12*B31/4</f>
        <v>0</v>
      </c>
      <c r="C44" s="51">
        <f t="shared" ref="C44:I44" si="30">$F$12*C31/4</f>
        <v>0</v>
      </c>
      <c r="D44" s="51">
        <f t="shared" si="30"/>
        <v>0</v>
      </c>
      <c r="E44" s="51">
        <f t="shared" si="30"/>
        <v>0</v>
      </c>
      <c r="F44" s="51">
        <f t="shared" si="30"/>
        <v>0</v>
      </c>
      <c r="G44" s="51">
        <f t="shared" si="30"/>
        <v>0</v>
      </c>
      <c r="H44" s="51">
        <f t="shared" si="30"/>
        <v>0</v>
      </c>
      <c r="I44" s="121">
        <f t="shared" si="30"/>
        <v>0</v>
      </c>
      <c r="J44" s="243"/>
      <c r="K44" s="120">
        <f>$F$12*K31</f>
        <v>0</v>
      </c>
      <c r="L44" s="51">
        <f t="shared" ref="L44:N44" si="31">$F$12*L31</f>
        <v>0</v>
      </c>
      <c r="M44" s="51">
        <f t="shared" si="31"/>
        <v>0</v>
      </c>
      <c r="N44" s="121">
        <f t="shared" si="31"/>
        <v>0</v>
      </c>
      <c r="P44" s="163"/>
      <c r="Q44" s="27"/>
      <c r="R44" s="27"/>
      <c r="S44" s="27"/>
      <c r="T44" s="27"/>
      <c r="U44" s="27"/>
      <c r="V44" s="27"/>
      <c r="W44" s="27"/>
      <c r="X44" s="164"/>
    </row>
    <row r="45" spans="1:24" x14ac:dyDescent="0.3">
      <c r="A45" s="42" t="str">
        <f t="shared" si="29"/>
        <v>Engineers</v>
      </c>
      <c r="B45" s="120">
        <f t="shared" ref="B45:I45" si="32">$J$12*B32/4</f>
        <v>0</v>
      </c>
      <c r="C45" s="51">
        <f t="shared" si="32"/>
        <v>0</v>
      </c>
      <c r="D45" s="51">
        <f t="shared" si="32"/>
        <v>0</v>
      </c>
      <c r="E45" s="51">
        <f t="shared" si="32"/>
        <v>0</v>
      </c>
      <c r="F45" s="51">
        <f t="shared" si="32"/>
        <v>0</v>
      </c>
      <c r="G45" s="51">
        <f t="shared" si="32"/>
        <v>0</v>
      </c>
      <c r="H45" s="51">
        <f t="shared" si="32"/>
        <v>0</v>
      </c>
      <c r="I45" s="121">
        <f t="shared" si="32"/>
        <v>0</v>
      </c>
      <c r="J45" s="243"/>
      <c r="K45" s="120">
        <f>$J$12*K32</f>
        <v>0</v>
      </c>
      <c r="L45" s="51">
        <f>$J$12*L32</f>
        <v>0</v>
      </c>
      <c r="M45" s="51">
        <f>$J$12*M32</f>
        <v>0</v>
      </c>
      <c r="N45" s="121">
        <f>$J$12*N32</f>
        <v>0</v>
      </c>
      <c r="P45" s="163"/>
      <c r="Q45" s="27"/>
      <c r="R45" s="27"/>
      <c r="S45" s="27"/>
      <c r="T45" s="27"/>
      <c r="U45" s="27"/>
      <c r="V45" s="27"/>
      <c r="W45" s="27"/>
      <c r="X45" s="164"/>
    </row>
    <row r="46" spans="1:24" x14ac:dyDescent="0.3">
      <c r="A46" s="42" t="str">
        <f t="shared" si="29"/>
        <v>Sales</v>
      </c>
      <c r="B46" s="120">
        <f>$B$22*B33/4</f>
        <v>0</v>
      </c>
      <c r="C46" s="51">
        <f t="shared" ref="C46:I46" si="33">$B$22*C33/4</f>
        <v>0</v>
      </c>
      <c r="D46" s="51">
        <f t="shared" si="33"/>
        <v>0</v>
      </c>
      <c r="E46" s="51">
        <f t="shared" si="33"/>
        <v>0</v>
      </c>
      <c r="F46" s="51">
        <f t="shared" si="33"/>
        <v>0</v>
      </c>
      <c r="G46" s="51">
        <f t="shared" si="33"/>
        <v>0</v>
      </c>
      <c r="H46" s="51">
        <f t="shared" si="33"/>
        <v>0</v>
      </c>
      <c r="I46" s="121">
        <f t="shared" si="33"/>
        <v>0</v>
      </c>
      <c r="J46" s="243"/>
      <c r="K46" s="120">
        <f>$B$22*K33</f>
        <v>0</v>
      </c>
      <c r="L46" s="51">
        <f t="shared" ref="L46:N46" si="34">$B$22*L33</f>
        <v>0</v>
      </c>
      <c r="M46" s="51">
        <f t="shared" si="34"/>
        <v>0</v>
      </c>
      <c r="N46" s="121">
        <f t="shared" si="34"/>
        <v>0</v>
      </c>
      <c r="P46" s="163"/>
      <c r="Q46" s="27"/>
      <c r="R46" s="27"/>
      <c r="S46" s="27"/>
      <c r="T46" s="27"/>
      <c r="U46" s="27"/>
      <c r="V46" s="27"/>
      <c r="W46" s="27"/>
      <c r="X46" s="164"/>
    </row>
    <row r="47" spans="1:24" x14ac:dyDescent="0.3">
      <c r="A47" s="42" t="str">
        <f t="shared" si="29"/>
        <v>Admin</v>
      </c>
      <c r="B47" s="120">
        <f>$F$22*B34/4</f>
        <v>0</v>
      </c>
      <c r="C47" s="51">
        <f t="shared" ref="C47:I47" si="35">$F$22*C34/4</f>
        <v>0</v>
      </c>
      <c r="D47" s="51">
        <f t="shared" si="35"/>
        <v>0</v>
      </c>
      <c r="E47" s="51">
        <f t="shared" si="35"/>
        <v>0</v>
      </c>
      <c r="F47" s="51">
        <f t="shared" si="35"/>
        <v>0</v>
      </c>
      <c r="G47" s="51">
        <f t="shared" si="35"/>
        <v>0</v>
      </c>
      <c r="H47" s="51">
        <f t="shared" si="35"/>
        <v>0</v>
      </c>
      <c r="I47" s="121">
        <f t="shared" si="35"/>
        <v>0</v>
      </c>
      <c r="J47" s="243"/>
      <c r="K47" s="120">
        <f>$F$22*K34</f>
        <v>0</v>
      </c>
      <c r="L47" s="51">
        <f t="shared" ref="L47:N47" si="36">$F$22*L34</f>
        <v>0</v>
      </c>
      <c r="M47" s="51">
        <f t="shared" si="36"/>
        <v>0</v>
      </c>
      <c r="N47" s="121">
        <f t="shared" si="36"/>
        <v>0</v>
      </c>
      <c r="P47" s="163"/>
      <c r="Q47" s="27"/>
      <c r="R47" s="27"/>
      <c r="S47" s="27"/>
      <c r="T47" s="27"/>
      <c r="U47" s="27"/>
      <c r="V47" s="27"/>
      <c r="W47" s="27"/>
      <c r="X47" s="164"/>
    </row>
    <row r="48" spans="1:24" ht="15" thickBot="1" x14ac:dyDescent="0.35">
      <c r="A48" s="43" t="str">
        <f t="shared" si="29"/>
        <v>Finance</v>
      </c>
      <c r="B48" s="122">
        <f t="shared" ref="B48:I48" si="37">$J$22*B35/4</f>
        <v>0</v>
      </c>
      <c r="C48" s="52">
        <f t="shared" si="37"/>
        <v>0</v>
      </c>
      <c r="D48" s="52">
        <f t="shared" si="37"/>
        <v>0</v>
      </c>
      <c r="E48" s="52">
        <f t="shared" si="37"/>
        <v>0</v>
      </c>
      <c r="F48" s="52">
        <f t="shared" si="37"/>
        <v>0</v>
      </c>
      <c r="G48" s="52">
        <f t="shared" si="37"/>
        <v>0</v>
      </c>
      <c r="H48" s="52">
        <f t="shared" si="37"/>
        <v>0</v>
      </c>
      <c r="I48" s="123">
        <f t="shared" si="37"/>
        <v>0</v>
      </c>
      <c r="J48" s="243"/>
      <c r="K48" s="122">
        <f>$J$22*K35</f>
        <v>0</v>
      </c>
      <c r="L48" s="52">
        <f>$J$22*L35</f>
        <v>0</v>
      </c>
      <c r="M48" s="52">
        <f>$J$22*M35</f>
        <v>0</v>
      </c>
      <c r="N48" s="123">
        <f>$J$22*N35</f>
        <v>0</v>
      </c>
      <c r="P48" s="163"/>
      <c r="Q48" s="27"/>
      <c r="R48" s="27"/>
      <c r="S48" s="27"/>
      <c r="T48" s="27"/>
      <c r="U48" s="27"/>
      <c r="V48" s="27"/>
      <c r="W48" s="27"/>
      <c r="X48" s="164"/>
    </row>
    <row r="49" spans="1:24" ht="15.6" thickTop="1" thickBot="1" x14ac:dyDescent="0.35">
      <c r="A49" s="44" t="s">
        <v>13</v>
      </c>
      <c r="B49" s="124">
        <f>SUM(B43:B48)</f>
        <v>0</v>
      </c>
      <c r="C49" s="53">
        <f t="shared" ref="C49:N49" si="38">SUM(C43:C48)</f>
        <v>0</v>
      </c>
      <c r="D49" s="53">
        <f t="shared" si="38"/>
        <v>0</v>
      </c>
      <c r="E49" s="53">
        <f t="shared" si="38"/>
        <v>0</v>
      </c>
      <c r="F49" s="53">
        <f t="shared" si="38"/>
        <v>0</v>
      </c>
      <c r="G49" s="53">
        <f t="shared" si="38"/>
        <v>0</v>
      </c>
      <c r="H49" s="53">
        <f t="shared" si="38"/>
        <v>0</v>
      </c>
      <c r="I49" s="103">
        <f t="shared" si="38"/>
        <v>0</v>
      </c>
      <c r="J49" s="243"/>
      <c r="K49" s="124">
        <f t="shared" si="38"/>
        <v>0</v>
      </c>
      <c r="L49" s="53">
        <f t="shared" si="38"/>
        <v>0</v>
      </c>
      <c r="M49" s="53">
        <f t="shared" si="38"/>
        <v>0</v>
      </c>
      <c r="N49" s="103">
        <f t="shared" si="38"/>
        <v>0</v>
      </c>
      <c r="P49" s="125"/>
      <c r="Q49" s="126"/>
      <c r="R49" s="126"/>
      <c r="S49" s="126"/>
      <c r="T49" s="126"/>
      <c r="U49" s="126"/>
      <c r="V49" s="126"/>
      <c r="W49" s="126"/>
      <c r="X49" s="127"/>
    </row>
    <row r="50" spans="1:24" ht="15" thickTop="1" x14ac:dyDescent="0.3"/>
    <row r="53" spans="1:24" x14ac:dyDescent="0.3">
      <c r="Q53" s="27"/>
      <c r="R53" s="27">
        <v>2020</v>
      </c>
      <c r="S53" s="27">
        <f>R53+1</f>
        <v>2021</v>
      </c>
      <c r="T53" s="27">
        <f>S53+1</f>
        <v>2022</v>
      </c>
      <c r="U53" s="27">
        <f>T53+1</f>
        <v>2023</v>
      </c>
      <c r="V53" s="27">
        <f>U53+1</f>
        <v>2024</v>
      </c>
      <c r="W53" s="27">
        <f>V53+1</f>
        <v>2025</v>
      </c>
    </row>
    <row r="54" spans="1:24" x14ac:dyDescent="0.3">
      <c r="Q54" s="212" t="str">
        <f t="shared" ref="Q54:W58" si="39">Q28</f>
        <v>Founders</v>
      </c>
      <c r="R54" s="278">
        <f t="shared" si="39"/>
        <v>0</v>
      </c>
      <c r="S54" s="278">
        <f t="shared" si="39"/>
        <v>0</v>
      </c>
      <c r="T54" s="278">
        <f t="shared" si="39"/>
        <v>0</v>
      </c>
      <c r="U54" s="278">
        <f t="shared" si="39"/>
        <v>0</v>
      </c>
      <c r="V54" s="278">
        <f t="shared" si="39"/>
        <v>0</v>
      </c>
      <c r="W54" s="278">
        <f t="shared" si="39"/>
        <v>0</v>
      </c>
    </row>
    <row r="55" spans="1:24" x14ac:dyDescent="0.3">
      <c r="Q55" s="212" t="str">
        <f t="shared" si="39"/>
        <v>Engineers</v>
      </c>
      <c r="R55" s="278">
        <f t="shared" si="39"/>
        <v>0</v>
      </c>
      <c r="S55" s="278">
        <f t="shared" si="39"/>
        <v>0</v>
      </c>
      <c r="T55" s="278">
        <f t="shared" si="39"/>
        <v>0</v>
      </c>
      <c r="U55" s="278">
        <f t="shared" si="39"/>
        <v>0</v>
      </c>
      <c r="V55" s="278">
        <f t="shared" si="39"/>
        <v>0</v>
      </c>
      <c r="W55" s="278">
        <f t="shared" si="39"/>
        <v>0</v>
      </c>
    </row>
    <row r="56" spans="1:24" x14ac:dyDescent="0.3">
      <c r="Q56" s="212" t="str">
        <f t="shared" si="39"/>
        <v>Sales</v>
      </c>
      <c r="R56" s="278">
        <f t="shared" si="39"/>
        <v>0</v>
      </c>
      <c r="S56" s="278">
        <f t="shared" si="39"/>
        <v>0</v>
      </c>
      <c r="T56" s="278">
        <f t="shared" si="39"/>
        <v>0</v>
      </c>
      <c r="U56" s="278">
        <f t="shared" si="39"/>
        <v>0</v>
      </c>
      <c r="V56" s="278">
        <f t="shared" si="39"/>
        <v>0</v>
      </c>
      <c r="W56" s="278">
        <f t="shared" si="39"/>
        <v>0</v>
      </c>
    </row>
    <row r="57" spans="1:24" x14ac:dyDescent="0.3">
      <c r="Q57" s="212" t="str">
        <f t="shared" si="39"/>
        <v>Admin</v>
      </c>
      <c r="R57" s="278">
        <f t="shared" si="39"/>
        <v>0</v>
      </c>
      <c r="S57" s="278">
        <f t="shared" si="39"/>
        <v>0</v>
      </c>
      <c r="T57" s="278">
        <f t="shared" si="39"/>
        <v>0</v>
      </c>
      <c r="U57" s="278">
        <f t="shared" si="39"/>
        <v>0</v>
      </c>
      <c r="V57" s="278">
        <f t="shared" si="39"/>
        <v>0</v>
      </c>
      <c r="W57" s="278">
        <f t="shared" si="39"/>
        <v>0</v>
      </c>
    </row>
    <row r="58" spans="1:24" x14ac:dyDescent="0.3">
      <c r="Q58" s="212" t="str">
        <f t="shared" si="39"/>
        <v>Finance</v>
      </c>
      <c r="R58" s="278">
        <f t="shared" si="39"/>
        <v>0</v>
      </c>
      <c r="S58" s="278">
        <f t="shared" si="39"/>
        <v>0</v>
      </c>
      <c r="T58" s="278">
        <f t="shared" si="39"/>
        <v>0</v>
      </c>
      <c r="U58" s="278">
        <f t="shared" si="39"/>
        <v>0</v>
      </c>
      <c r="V58" s="278">
        <f t="shared" si="39"/>
        <v>0</v>
      </c>
      <c r="W58" s="278">
        <f t="shared" si="39"/>
        <v>0</v>
      </c>
    </row>
  </sheetData>
  <mergeCells count="51">
    <mergeCell ref="K5:M5"/>
    <mergeCell ref="K6:M6"/>
    <mergeCell ref="K7:M7"/>
    <mergeCell ref="K8:M8"/>
    <mergeCell ref="K9:M9"/>
    <mergeCell ref="R23:W23"/>
    <mergeCell ref="C19:E19"/>
    <mergeCell ref="G19:I19"/>
    <mergeCell ref="C20:E20"/>
    <mergeCell ref="G20:I20"/>
    <mergeCell ref="K20:M20"/>
    <mergeCell ref="K21:M21"/>
    <mergeCell ref="K19:M19"/>
    <mergeCell ref="K10:M10"/>
    <mergeCell ref="K11:M11"/>
    <mergeCell ref="B40:I40"/>
    <mergeCell ref="K40:N40"/>
    <mergeCell ref="C17:E17"/>
    <mergeCell ref="G17:I17"/>
    <mergeCell ref="C18:E18"/>
    <mergeCell ref="G18:I18"/>
    <mergeCell ref="C21:E21"/>
    <mergeCell ref="G21:I21"/>
    <mergeCell ref="K17:M17"/>
    <mergeCell ref="K18:M18"/>
    <mergeCell ref="B27:I27"/>
    <mergeCell ref="K27:N27"/>
    <mergeCell ref="B28:E28"/>
    <mergeCell ref="F28:I28"/>
    <mergeCell ref="C15:E15"/>
    <mergeCell ref="G15:I15"/>
    <mergeCell ref="C16:E16"/>
    <mergeCell ref="G16:I16"/>
    <mergeCell ref="K15:M15"/>
    <mergeCell ref="K16:M16"/>
    <mergeCell ref="B41:E41"/>
    <mergeCell ref="F41:I41"/>
    <mergeCell ref="C5:E5"/>
    <mergeCell ref="G5:I5"/>
    <mergeCell ref="C6:E6"/>
    <mergeCell ref="G6:I6"/>
    <mergeCell ref="C7:E7"/>
    <mergeCell ref="G7:I7"/>
    <mergeCell ref="C8:E8"/>
    <mergeCell ref="G8:I8"/>
    <mergeCell ref="C11:E11"/>
    <mergeCell ref="G11:I11"/>
    <mergeCell ref="C9:E9"/>
    <mergeCell ref="G9:I9"/>
    <mergeCell ref="C10:E10"/>
    <mergeCell ref="G10:I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8</vt:i4>
      </vt:variant>
    </vt:vector>
  </HeadingPairs>
  <TitlesOfParts>
    <vt:vector size="30" baseType="lpstr">
      <vt:lpstr>Copyright Notice</vt:lpstr>
      <vt:lpstr>Intro</vt:lpstr>
      <vt:lpstr>Revenues -&gt;</vt:lpstr>
      <vt:lpstr>Top-Down</vt:lpstr>
      <vt:lpstr>Bottom-Up</vt:lpstr>
      <vt:lpstr>Revenues</vt:lpstr>
      <vt:lpstr>Costs -&gt;</vt:lpstr>
      <vt:lpstr>COGS</vt:lpstr>
      <vt:lpstr>Payroll</vt:lpstr>
      <vt:lpstr>Other Operating Expenses</vt:lpstr>
      <vt:lpstr>Capital Expenditures</vt:lpstr>
      <vt:lpstr>Total Expenses</vt:lpstr>
      <vt:lpstr>Working Capital</vt:lpstr>
      <vt:lpstr>Financing</vt:lpstr>
      <vt:lpstr>Statements -&gt;</vt:lpstr>
      <vt:lpstr>Cash Flow</vt:lpstr>
      <vt:lpstr>Income Statement</vt:lpstr>
      <vt:lpstr>Balance Sheet</vt:lpstr>
      <vt:lpstr>Charts -&gt;</vt:lpstr>
      <vt:lpstr>DCF Valuation</vt:lpstr>
      <vt:lpstr>Cash flow charts</vt:lpstr>
      <vt:lpstr>Additional Charts</vt:lpstr>
      <vt:lpstr>'Copyright Notice'!COGSMethod</vt:lpstr>
      <vt:lpstr>COGSMethod</vt:lpstr>
      <vt:lpstr>'Copyright Notice'!CompanyName</vt:lpstr>
      <vt:lpstr>CompanyName</vt:lpstr>
      <vt:lpstr>'Copyright Notice'!StartDate</vt:lpstr>
      <vt:lpstr>StartDate</vt:lpstr>
      <vt:lpstr>'Copyright Notice'!SubHeader</vt:lpstr>
      <vt:lpstr>SubHeader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Hicks</dc:creator>
  <cp:lastModifiedBy>Marco Da Rin</cp:lastModifiedBy>
  <dcterms:created xsi:type="dcterms:W3CDTF">2016-09-21T09:09:40Z</dcterms:created>
  <dcterms:modified xsi:type="dcterms:W3CDTF">2021-05-25T16:57:43Z</dcterms:modified>
</cp:coreProperties>
</file>