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transumanza\"/>
    </mc:Choice>
  </mc:AlternateContent>
  <bookViews>
    <workbookView xWindow="0" yWindow="0" windowWidth="23040" windowHeight="9192" activeTab="1"/>
  </bookViews>
  <sheets>
    <sheet name="Copyright" sheetId="3" r:id="rId1"/>
    <sheet name="IPO (a)" sheetId="1" r:id="rId2"/>
    <sheet name="IPO (b)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C34" i="2"/>
  <c r="D34" i="2"/>
  <c r="H20" i="1"/>
  <c r="H21" i="1" s="1"/>
  <c r="G20" i="1"/>
  <c r="C21" i="1"/>
  <c r="D20" i="1" s="1"/>
  <c r="D35" i="2" l="1"/>
  <c r="D33" i="2"/>
  <c r="D26" i="2"/>
  <c r="D27" i="2"/>
  <c r="B27" i="2" s="1"/>
  <c r="D30" i="2"/>
  <c r="D32" i="2"/>
  <c r="D25" i="2"/>
  <c r="C24" i="2"/>
  <c r="B24" i="2"/>
  <c r="B32" i="2" l="1"/>
  <c r="B30" i="2"/>
  <c r="B35" i="2"/>
  <c r="B25" i="2"/>
  <c r="B26" i="2"/>
  <c r="B33" i="2"/>
  <c r="C35" i="2"/>
  <c r="C33" i="2"/>
  <c r="C32" i="2"/>
  <c r="C30" i="2"/>
  <c r="C27" i="2"/>
  <c r="C26" i="2"/>
  <c r="C25" i="2"/>
  <c r="H18" i="2"/>
  <c r="G18" i="2"/>
  <c r="F18" i="2"/>
  <c r="C18" i="2"/>
  <c r="B18" i="2"/>
  <c r="H11" i="2"/>
  <c r="G11" i="2"/>
  <c r="F11" i="2"/>
  <c r="C11" i="2"/>
  <c r="B11" i="2"/>
  <c r="H10" i="2"/>
  <c r="H12" i="2" s="1"/>
  <c r="G10" i="2"/>
  <c r="G12" i="2" s="1"/>
  <c r="F10" i="2"/>
  <c r="F12" i="2" s="1"/>
  <c r="C10" i="2"/>
  <c r="C12" i="2" s="1"/>
  <c r="B10" i="2"/>
  <c r="F21" i="1"/>
  <c r="F9" i="1" s="1"/>
  <c r="D13" i="1"/>
  <c r="G17" i="1"/>
  <c r="H17" i="1" s="1"/>
  <c r="D17" i="1"/>
  <c r="D16" i="1"/>
  <c r="F16" i="1" s="1"/>
  <c r="D15" i="1"/>
  <c r="G14" i="1"/>
  <c r="H14" i="1" s="1"/>
  <c r="D14" i="1"/>
  <c r="H13" i="1"/>
  <c r="G13" i="1"/>
  <c r="G12" i="1"/>
  <c r="H12" i="1" s="1"/>
  <c r="D12" i="1"/>
  <c r="F10" i="1"/>
  <c r="G16" i="1" l="1"/>
  <c r="H16" i="1" s="1"/>
  <c r="D29" i="2"/>
  <c r="C10" i="1"/>
  <c r="F15" i="1"/>
  <c r="D18" i="1"/>
  <c r="F18" i="1" s="1"/>
  <c r="D19" i="1"/>
  <c r="F20" i="2"/>
  <c r="F8" i="2" s="1"/>
  <c r="F9" i="2" s="1"/>
  <c r="G20" i="2"/>
  <c r="G8" i="2" s="1"/>
  <c r="G9" i="2" s="1"/>
  <c r="B20" i="2"/>
  <c r="B8" i="2" s="1"/>
  <c r="B9" i="2" s="1"/>
  <c r="H20" i="2"/>
  <c r="H8" i="2" s="1"/>
  <c r="H9" i="2" s="1"/>
  <c r="C20" i="2"/>
  <c r="C8" i="2" s="1"/>
  <c r="C9" i="2" s="1"/>
  <c r="H13" i="2"/>
  <c r="B12" i="2"/>
  <c r="B13" i="2" s="1"/>
  <c r="G13" i="2"/>
  <c r="C13" i="2"/>
  <c r="F13" i="2"/>
  <c r="G19" i="1"/>
  <c r="H19" i="1" s="1"/>
  <c r="D21" i="1" l="1"/>
  <c r="C29" i="2"/>
  <c r="B29" i="2"/>
  <c r="G15" i="1"/>
  <c r="H15" i="1" s="1"/>
  <c r="D28" i="2"/>
  <c r="G18" i="1"/>
  <c r="H18" i="1" s="1"/>
  <c r="D31" i="2"/>
  <c r="B31" i="2" l="1"/>
  <c r="C31" i="2"/>
  <c r="B28" i="2"/>
  <c r="B36" i="2" s="1"/>
  <c r="D36" i="2"/>
  <c r="C28" i="2"/>
  <c r="C36" i="2" l="1"/>
</calcChain>
</file>

<file path=xl/sharedStrings.xml><?xml version="1.0" encoding="utf-8"?>
<sst xmlns="http://schemas.openxmlformats.org/spreadsheetml/2006/main" count="81" uniqueCount="53">
  <si>
    <t xml:space="preserve"> </t>
  </si>
  <si>
    <t>Series B</t>
  </si>
  <si>
    <t>Series C</t>
  </si>
  <si>
    <t>Price per share ($)</t>
  </si>
  <si>
    <t>Investment ($)</t>
  </si>
  <si>
    <t>Post-money valuation ($)</t>
  </si>
  <si>
    <t>Shares held</t>
  </si>
  <si>
    <t>Ownership Fraction</t>
  </si>
  <si>
    <t>Shares bought</t>
  </si>
  <si>
    <t>Ownership fraction</t>
  </si>
  <si>
    <t>Founders</t>
  </si>
  <si>
    <t>Other common holders</t>
  </si>
  <si>
    <t>High price</t>
  </si>
  <si>
    <t>Low price</t>
  </si>
  <si>
    <t>Without secondary shares</t>
  </si>
  <si>
    <t>With secondary shares</t>
  </si>
  <si>
    <t>With secondary shares and lower offer price</t>
  </si>
  <si>
    <t>Offer price ($)</t>
  </si>
  <si>
    <t>Valuation at IPO ($)</t>
  </si>
  <si>
    <t>Pre-money valuation at offer price ($)</t>
  </si>
  <si>
    <t>Funds raised ($)</t>
  </si>
  <si>
    <t xml:space="preserve"> Proceedings from shares sold ($)</t>
  </si>
  <si>
    <t>Underwriters' fees (7%)</t>
  </si>
  <si>
    <t>Funds available for investment ($)</t>
  </si>
  <si>
    <t>Shares issued at IPO ("primary shares")</t>
  </si>
  <si>
    <t>Shares issued for the Greenshoe option</t>
  </si>
  <si>
    <t>Shares sold by shareholders ("secondary shares")</t>
  </si>
  <si>
    <t>Total shares offered</t>
  </si>
  <si>
    <t>Shares after the IPO</t>
  </si>
  <si>
    <t>Shares</t>
  </si>
  <si>
    <t>Value ($)</t>
  </si>
  <si>
    <t>IPO market price</t>
  </si>
  <si>
    <t>IPO Primary shares</t>
  </si>
  <si>
    <t>© 2020 Marco Da Rin and Thomas Hellmann</t>
  </si>
  <si>
    <t>Fundamentals of Entrepreneurial Finance</t>
  </si>
  <si>
    <t>Initial Public Offering</t>
  </si>
  <si>
    <t>Chapter 11</t>
  </si>
  <si>
    <t>green background = input cells (from which formulas derive results)</t>
  </si>
  <si>
    <t xml:space="preserve">Assessing the IPO option </t>
  </si>
  <si>
    <t>(this table replicates and extends the Table in WorkHorse Box  11.1 in the book)</t>
  </si>
  <si>
    <t>Capitalization tables after the C round</t>
  </si>
  <si>
    <t>IPO scenarios: different offer prices</t>
  </si>
  <si>
    <t>IPO scenarios: different fundraising strategies</t>
  </si>
  <si>
    <t>Shares before the IPO</t>
  </si>
  <si>
    <t>Investor wealth at IPO</t>
  </si>
  <si>
    <t>Michael Archie</t>
  </si>
  <si>
    <t>Eagle-I Ventures</t>
  </si>
  <si>
    <t>Coyo-T Capital</t>
  </si>
  <si>
    <t>JetLuck</t>
  </si>
  <si>
    <t>GestütenTechnik</t>
  </si>
  <si>
    <t>..other investors ...</t>
  </si>
  <si>
    <t>ShoeHorn Bank (Greenshoe)</t>
  </si>
  <si>
    <t>… other investors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</si>
</sst>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0" xfId="0" applyFont="1"/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wrapText="1"/>
    </xf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3" fontId="6" fillId="2" borderId="0" xfId="0" applyNumberFormat="1" applyFont="1" applyFill="1" applyBorder="1"/>
    <xf numFmtId="164" fontId="7" fillId="0" borderId="0" xfId="0" applyNumberFormat="1" applyFont="1" applyBorder="1"/>
    <xf numFmtId="3" fontId="6" fillId="0" borderId="0" xfId="0" applyNumberFormat="1" applyFont="1" applyBorder="1"/>
    <xf numFmtId="0" fontId="7" fillId="0" borderId="0" xfId="0" applyFont="1" applyBorder="1"/>
    <xf numFmtId="0" fontId="5" fillId="0" borderId="0" xfId="1" applyFont="1" applyBorder="1" applyAlignment="1">
      <alignment horizontal="right" wrapText="1"/>
    </xf>
    <xf numFmtId="9" fontId="7" fillId="0" borderId="0" xfId="0" applyNumberFormat="1" applyFont="1" applyBorder="1"/>
    <xf numFmtId="0" fontId="6" fillId="0" borderId="0" xfId="0" applyFont="1"/>
    <xf numFmtId="0" fontId="6" fillId="0" borderId="0" xfId="0" applyFont="1" applyBorder="1"/>
    <xf numFmtId="0" fontId="5" fillId="0" borderId="0" xfId="1" applyFont="1" applyAlignment="1">
      <alignment wrapText="1"/>
    </xf>
    <xf numFmtId="3" fontId="6" fillId="0" borderId="0" xfId="0" applyNumberFormat="1" applyFont="1"/>
    <xf numFmtId="0" fontId="5" fillId="0" borderId="0" xfId="1" applyFont="1" applyAlignment="1"/>
    <xf numFmtId="0" fontId="6" fillId="0" borderId="0" xfId="0" applyFont="1" applyAlignment="1"/>
    <xf numFmtId="3" fontId="6" fillId="0" borderId="0" xfId="0" applyNumberFormat="1" applyFont="1" applyAlignment="1"/>
    <xf numFmtId="0" fontId="6" fillId="0" borderId="0" xfId="0" applyFont="1" applyAlignment="1">
      <alignment wrapText="1"/>
    </xf>
    <xf numFmtId="0" fontId="5" fillId="0" borderId="0" xfId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6" fillId="2" borderId="0" xfId="0" applyNumberFormat="1" applyFont="1" applyFill="1"/>
    <xf numFmtId="3" fontId="6" fillId="2" borderId="0" xfId="0" applyNumberFormat="1" applyFont="1" applyFill="1" applyAlignment="1"/>
    <xf numFmtId="3" fontId="6" fillId="0" borderId="1" xfId="0" applyNumberFormat="1" applyFont="1" applyBorder="1"/>
    <xf numFmtId="0" fontId="6" fillId="0" borderId="0" xfId="0" applyFont="1" applyAlignment="1">
      <alignment horizontal="center"/>
    </xf>
    <xf numFmtId="0" fontId="5" fillId="0" borderId="1" xfId="1" applyFont="1" applyBorder="1" applyAlignment="1">
      <alignment wrapText="1"/>
    </xf>
    <xf numFmtId="0" fontId="7" fillId="0" borderId="1" xfId="0" applyFont="1" applyBorder="1"/>
    <xf numFmtId="3" fontId="6" fillId="2" borderId="1" xfId="0" applyNumberFormat="1" applyFont="1" applyFill="1" applyBorder="1"/>
    <xf numFmtId="164" fontId="7" fillId="0" borderId="1" xfId="0" applyNumberFormat="1" applyFont="1" applyBorder="1"/>
    <xf numFmtId="3" fontId="6" fillId="0" borderId="0" xfId="0" applyNumberFormat="1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/>
    <xf numFmtId="0" fontId="8" fillId="0" borderId="1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6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C24" sqref="C24"/>
    </sheetView>
  </sheetViews>
  <sheetFormatPr defaultRowHeight="14.4" x14ac:dyDescent="0.3"/>
  <sheetData>
    <row r="2" spans="1:1" ht="16.8" customHeight="1" x14ac:dyDescent="0.3"/>
    <row r="3" spans="1:1" ht="18" x14ac:dyDescent="0.35">
      <c r="A3" s="4" t="s">
        <v>33</v>
      </c>
    </row>
    <row r="4" spans="1:1" ht="18" x14ac:dyDescent="0.35">
      <c r="A4" s="4" t="s">
        <v>34</v>
      </c>
    </row>
    <row r="5" spans="1:1" ht="18" x14ac:dyDescent="0.35">
      <c r="A5" s="4" t="s">
        <v>36</v>
      </c>
    </row>
    <row r="6" spans="1:1" ht="18" x14ac:dyDescent="0.35">
      <c r="A6" s="4" t="s">
        <v>35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26" sqref="A26"/>
    </sheetView>
  </sheetViews>
  <sheetFormatPr defaultColWidth="8.6640625" defaultRowHeight="14.4" x14ac:dyDescent="0.3"/>
  <cols>
    <col min="1" max="1" width="55.21875" customWidth="1"/>
    <col min="2" max="2" width="27.6640625" bestFit="1" customWidth="1"/>
    <col min="3" max="3" width="9.88671875" style="1" bestFit="1" customWidth="1"/>
    <col min="4" max="4" width="11" bestFit="1" customWidth="1"/>
    <col min="5" max="5" width="4.88671875" customWidth="1"/>
    <col min="6" max="6" width="8.21875" style="1" bestFit="1" customWidth="1"/>
    <col min="7" max="7" width="9.88671875" bestFit="1" customWidth="1"/>
    <col min="8" max="8" width="11" customWidth="1"/>
  </cols>
  <sheetData>
    <row r="1" spans="1:12" s="6" customFormat="1" ht="18" x14ac:dyDescent="0.35">
      <c r="A1" s="5" t="s">
        <v>38</v>
      </c>
      <c r="G1" s="7"/>
      <c r="H1" s="7"/>
      <c r="I1" s="7"/>
      <c r="J1" s="7"/>
      <c r="K1" s="7"/>
      <c r="L1" s="7"/>
    </row>
    <row r="2" spans="1:12" s="6" customFormat="1" ht="18" x14ac:dyDescent="0.35">
      <c r="A2" s="5" t="s">
        <v>39</v>
      </c>
      <c r="G2" s="7"/>
      <c r="H2" s="7"/>
      <c r="I2" s="7"/>
      <c r="J2" s="7"/>
      <c r="K2" s="7"/>
      <c r="L2" s="7"/>
    </row>
    <row r="3" spans="1:12" s="24" customFormat="1" ht="15.6" x14ac:dyDescent="0.3">
      <c r="A3" s="46" t="s">
        <v>37</v>
      </c>
      <c r="B3" s="48"/>
      <c r="G3" s="47"/>
      <c r="H3" s="47"/>
      <c r="I3" s="47"/>
      <c r="J3" s="47"/>
      <c r="K3" s="47"/>
      <c r="L3" s="47"/>
    </row>
    <row r="4" spans="1:12" s="23" customFormat="1" ht="15.6" x14ac:dyDescent="0.3"/>
    <row r="5" spans="1:12" s="23" customFormat="1" ht="15.6" x14ac:dyDescent="0.3">
      <c r="C5" s="49" t="s">
        <v>40</v>
      </c>
      <c r="D5" s="49"/>
      <c r="E5" s="49"/>
      <c r="F5" s="49"/>
      <c r="G5" s="49"/>
      <c r="H5" s="49"/>
    </row>
    <row r="6" spans="1:12" s="23" customFormat="1" ht="15.6" x14ac:dyDescent="0.3"/>
    <row r="7" spans="1:12" s="23" customFormat="1" ht="14.7" customHeight="1" x14ac:dyDescent="0.3">
      <c r="A7" s="24"/>
      <c r="B7" s="10" t="s">
        <v>0</v>
      </c>
      <c r="C7" s="51" t="s">
        <v>1</v>
      </c>
      <c r="D7" s="51"/>
      <c r="E7" s="45"/>
      <c r="F7" s="51" t="s">
        <v>2</v>
      </c>
      <c r="G7" s="51"/>
      <c r="H7" s="51"/>
    </row>
    <row r="8" spans="1:12" s="23" customFormat="1" ht="15.6" x14ac:dyDescent="0.3">
      <c r="A8" s="24"/>
      <c r="B8" s="11" t="s">
        <v>3</v>
      </c>
      <c r="C8" s="52">
        <v>8</v>
      </c>
      <c r="D8" s="52"/>
      <c r="E8" s="12"/>
      <c r="F8" s="52">
        <v>20</v>
      </c>
      <c r="G8" s="52"/>
      <c r="H8" s="52"/>
    </row>
    <row r="9" spans="1:12" s="23" customFormat="1" ht="16.95" customHeight="1" x14ac:dyDescent="0.3">
      <c r="A9" s="24"/>
      <c r="B9" s="11" t="s">
        <v>4</v>
      </c>
      <c r="C9" s="53">
        <v>10000000</v>
      </c>
      <c r="D9" s="53"/>
      <c r="E9" s="45"/>
      <c r="F9" s="53">
        <f>F21*F8</f>
        <v>17666666.666666679</v>
      </c>
      <c r="G9" s="53"/>
      <c r="H9" s="53"/>
    </row>
    <row r="10" spans="1:12" s="23" customFormat="1" ht="16.95" customHeight="1" x14ac:dyDescent="0.3">
      <c r="A10" s="24"/>
      <c r="B10" s="11" t="s">
        <v>5</v>
      </c>
      <c r="C10" s="50">
        <f>C21*C8</f>
        <v>24933333.333333328</v>
      </c>
      <c r="D10" s="50"/>
      <c r="E10" s="45"/>
      <c r="F10" s="50">
        <f>F8*G21</f>
        <v>80000000</v>
      </c>
      <c r="G10" s="50"/>
      <c r="H10" s="50"/>
    </row>
    <row r="11" spans="1:12" s="23" customFormat="1" ht="31.2" x14ac:dyDescent="0.3">
      <c r="A11" s="24"/>
      <c r="B11" s="13"/>
      <c r="C11" s="14" t="s">
        <v>6</v>
      </c>
      <c r="D11" s="15" t="s">
        <v>7</v>
      </c>
      <c r="E11" s="16"/>
      <c r="F11" s="14" t="s">
        <v>8</v>
      </c>
      <c r="G11" s="14" t="s">
        <v>6</v>
      </c>
      <c r="H11" s="15" t="s">
        <v>9</v>
      </c>
    </row>
    <row r="12" spans="1:12" s="23" customFormat="1" ht="15.6" x14ac:dyDescent="0.3">
      <c r="B12" s="24" t="s">
        <v>10</v>
      </c>
      <c r="C12" s="17">
        <v>800000</v>
      </c>
      <c r="D12" s="18">
        <f t="shared" ref="D12:D20" si="0">C12/C$21</f>
        <v>0.25668449197860965</v>
      </c>
      <c r="E12" s="18"/>
      <c r="F12" s="17">
        <v>0</v>
      </c>
      <c r="G12" s="19">
        <f t="shared" ref="G12:G20" si="1">C12+F12</f>
        <v>800000</v>
      </c>
      <c r="H12" s="18">
        <f t="shared" ref="H12:H19" si="2">G12/G$21</f>
        <v>0.2</v>
      </c>
    </row>
    <row r="13" spans="1:12" s="23" customFormat="1" ht="15.6" x14ac:dyDescent="0.3">
      <c r="B13" s="24" t="s">
        <v>11</v>
      </c>
      <c r="C13" s="17">
        <v>525000</v>
      </c>
      <c r="D13" s="18">
        <f t="shared" si="0"/>
        <v>0.1684491978609626</v>
      </c>
      <c r="E13" s="18"/>
      <c r="F13" s="17">
        <v>0</v>
      </c>
      <c r="G13" s="19">
        <f t="shared" si="1"/>
        <v>525000</v>
      </c>
      <c r="H13" s="18">
        <f t="shared" si="2"/>
        <v>0.13125000000000001</v>
      </c>
    </row>
    <row r="14" spans="1:12" s="23" customFormat="1" ht="15.6" x14ac:dyDescent="0.3">
      <c r="B14" s="24" t="s">
        <v>45</v>
      </c>
      <c r="C14" s="17">
        <v>179166.66666666599</v>
      </c>
      <c r="D14" s="18">
        <f t="shared" si="0"/>
        <v>5.7486631016042573E-2</v>
      </c>
      <c r="E14" s="18"/>
      <c r="F14" s="17">
        <v>0</v>
      </c>
      <c r="G14" s="19">
        <f t="shared" si="1"/>
        <v>179166.66666666599</v>
      </c>
      <c r="H14" s="18">
        <f t="shared" si="2"/>
        <v>4.4791666666666494E-2</v>
      </c>
    </row>
    <row r="15" spans="1:12" s="23" customFormat="1" ht="15.6" x14ac:dyDescent="0.3">
      <c r="B15" s="24" t="s">
        <v>46</v>
      </c>
      <c r="C15" s="17">
        <v>364583</v>
      </c>
      <c r="D15" s="18">
        <f t="shared" si="0"/>
        <v>0.11697850267379681</v>
      </c>
      <c r="E15" s="18"/>
      <c r="F15" s="17">
        <f>D15*F21</f>
        <v>103331.01069518726</v>
      </c>
      <c r="G15" s="19">
        <f t="shared" si="1"/>
        <v>467914.01069518726</v>
      </c>
      <c r="H15" s="18">
        <f t="shared" si="2"/>
        <v>0.11697850267379681</v>
      </c>
    </row>
    <row r="16" spans="1:12" s="23" customFormat="1" ht="15.6" x14ac:dyDescent="0.3">
      <c r="B16" s="24" t="s">
        <v>47</v>
      </c>
      <c r="C16" s="17">
        <v>479167</v>
      </c>
      <c r="D16" s="18">
        <f t="shared" si="0"/>
        <v>0.15374342245989309</v>
      </c>
      <c r="E16" s="18"/>
      <c r="F16" s="17">
        <f>D16*F21</f>
        <v>135806.68983957233</v>
      </c>
      <c r="G16" s="19">
        <f t="shared" si="1"/>
        <v>614973.6898395723</v>
      </c>
      <c r="H16" s="18">
        <f t="shared" si="2"/>
        <v>0.15374342245989309</v>
      </c>
    </row>
    <row r="17" spans="1:9" s="23" customFormat="1" ht="15.6" x14ac:dyDescent="0.3">
      <c r="B17" s="24" t="s">
        <v>48</v>
      </c>
      <c r="C17" s="17">
        <v>500000</v>
      </c>
      <c r="D17" s="18">
        <f t="shared" si="0"/>
        <v>0.16042780748663105</v>
      </c>
      <c r="E17" s="18"/>
      <c r="F17" s="17">
        <v>300000</v>
      </c>
      <c r="G17" s="19">
        <f t="shared" si="1"/>
        <v>800000</v>
      </c>
      <c r="H17" s="18">
        <f t="shared" si="2"/>
        <v>0.2</v>
      </c>
    </row>
    <row r="18" spans="1:9" s="23" customFormat="1" ht="15.6" x14ac:dyDescent="0.3">
      <c r="B18" s="24" t="s">
        <v>49</v>
      </c>
      <c r="C18" s="17">
        <v>268750</v>
      </c>
      <c r="D18" s="18">
        <f t="shared" si="0"/>
        <v>8.6229946524064183E-2</v>
      </c>
      <c r="E18" s="18"/>
      <c r="F18" s="17">
        <f>D18*F21</f>
        <v>76169.78609625675</v>
      </c>
      <c r="G18" s="19">
        <f t="shared" si="1"/>
        <v>344919.78609625675</v>
      </c>
      <c r="H18" s="18">
        <f t="shared" si="2"/>
        <v>8.6229946524064183E-2</v>
      </c>
    </row>
    <row r="19" spans="1:9" s="23" customFormat="1" ht="15.6" x14ac:dyDescent="0.3">
      <c r="B19" s="24" t="s">
        <v>51</v>
      </c>
      <c r="C19" s="17">
        <v>0</v>
      </c>
      <c r="D19" s="18">
        <f t="shared" si="0"/>
        <v>0</v>
      </c>
      <c r="E19" s="20"/>
      <c r="F19" s="17">
        <v>268026</v>
      </c>
      <c r="G19" s="19">
        <f>F19</f>
        <v>268026</v>
      </c>
      <c r="H19" s="18">
        <f t="shared" si="2"/>
        <v>6.7006499999999997E-2</v>
      </c>
    </row>
    <row r="20" spans="1:9" s="23" customFormat="1" ht="15.6" x14ac:dyDescent="0.3">
      <c r="B20" s="55" t="s">
        <v>50</v>
      </c>
      <c r="C20" s="43">
        <v>0</v>
      </c>
      <c r="D20" s="44">
        <f t="shared" si="0"/>
        <v>0</v>
      </c>
      <c r="E20" s="42"/>
      <c r="F20" s="43">
        <v>0</v>
      </c>
      <c r="G20" s="39">
        <f t="shared" si="1"/>
        <v>0</v>
      </c>
      <c r="H20" s="44">
        <f>G20/F21</f>
        <v>0</v>
      </c>
    </row>
    <row r="21" spans="1:9" s="23" customFormat="1" ht="15.6" x14ac:dyDescent="0.3">
      <c r="B21" s="21" t="s">
        <v>0</v>
      </c>
      <c r="C21" s="19">
        <f>SUM(C12:C20)</f>
        <v>3116666.666666666</v>
      </c>
      <c r="D21" s="22">
        <f>SUM(D12:D20)</f>
        <v>0.99999999999999978</v>
      </c>
      <c r="E21" s="22"/>
      <c r="F21" s="19">
        <f>G21-C21</f>
        <v>883333.33333333395</v>
      </c>
      <c r="G21" s="19">
        <v>4000000</v>
      </c>
      <c r="H21" s="18">
        <f>SUM(H12:H20)</f>
        <v>1.0000000383244205</v>
      </c>
    </row>
    <row r="22" spans="1:9" ht="15.6" x14ac:dyDescent="0.3">
      <c r="A22" s="6"/>
      <c r="B22" s="24"/>
      <c r="C22" s="19"/>
      <c r="D22" s="24"/>
      <c r="E22" s="24"/>
      <c r="F22" s="19"/>
      <c r="G22" s="24"/>
      <c r="H22" s="24"/>
      <c r="I22" s="9"/>
    </row>
    <row r="23" spans="1:9" x14ac:dyDescent="0.3">
      <c r="A23" s="6"/>
      <c r="B23" s="6"/>
      <c r="C23" s="8"/>
      <c r="D23" s="6"/>
      <c r="E23" s="6"/>
      <c r="F23" s="8"/>
      <c r="G23" s="6"/>
      <c r="H23" s="6"/>
    </row>
  </sheetData>
  <mergeCells count="9">
    <mergeCell ref="C5:H5"/>
    <mergeCell ref="C10:D10"/>
    <mergeCell ref="F10:H10"/>
    <mergeCell ref="C7:D7"/>
    <mergeCell ref="F7:H7"/>
    <mergeCell ref="C8:D8"/>
    <mergeCell ref="F8:H8"/>
    <mergeCell ref="C9:D9"/>
    <mergeCell ref="F9:H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E33" sqref="E33"/>
    </sheetView>
  </sheetViews>
  <sheetFormatPr defaultColWidth="8.6640625" defaultRowHeight="15.6" x14ac:dyDescent="0.3"/>
  <cols>
    <col min="1" max="1" width="54.5546875" style="2" customWidth="1"/>
    <col min="2" max="3" width="17.21875" style="2" customWidth="1"/>
    <col min="4" max="4" width="13.33203125" style="2" customWidth="1"/>
    <col min="5" max="5" width="46.44140625" style="3" customWidth="1"/>
    <col min="6" max="8" width="23.109375" style="2" customWidth="1"/>
    <col min="9" max="9" width="25.6640625" style="2" customWidth="1"/>
    <col min="10" max="10" width="8.6640625" style="2" bestFit="1" customWidth="1"/>
    <col min="11" max="16384" width="8.6640625" style="2"/>
  </cols>
  <sheetData>
    <row r="1" spans="1:14" s="6" customFormat="1" ht="18" x14ac:dyDescent="0.35">
      <c r="A1" s="5" t="s">
        <v>38</v>
      </c>
      <c r="C1" s="7"/>
      <c r="D1" s="7"/>
      <c r="E1" s="7"/>
      <c r="F1" s="7"/>
      <c r="G1" s="7"/>
      <c r="H1" s="7"/>
    </row>
    <row r="2" spans="1:14" s="6" customFormat="1" ht="18" x14ac:dyDescent="0.35">
      <c r="A2" s="5" t="s">
        <v>39</v>
      </c>
      <c r="C2" s="7"/>
      <c r="D2" s="7"/>
      <c r="E2" s="7"/>
      <c r="F2" s="7"/>
      <c r="G2" s="7"/>
      <c r="H2" s="7"/>
    </row>
    <row r="3" spans="1:14" s="24" customFormat="1" x14ac:dyDescent="0.3">
      <c r="A3" s="46" t="s">
        <v>37</v>
      </c>
      <c r="C3" s="47"/>
      <c r="D3" s="47"/>
      <c r="E3" s="47"/>
      <c r="F3" s="47"/>
      <c r="G3" s="47"/>
      <c r="H3" s="47"/>
    </row>
    <row r="4" spans="1:14" s="23" customFormat="1" x14ac:dyDescent="0.3"/>
    <row r="5" spans="1:14" s="23" customFormat="1" x14ac:dyDescent="0.3">
      <c r="B5" s="54" t="s">
        <v>41</v>
      </c>
      <c r="C5" s="54"/>
      <c r="F5" s="49" t="s">
        <v>42</v>
      </c>
      <c r="G5" s="49"/>
      <c r="H5" s="49"/>
    </row>
    <row r="6" spans="1:14" s="36" customFormat="1" ht="31.2" x14ac:dyDescent="0.3">
      <c r="A6" s="31"/>
      <c r="B6" s="33" t="s">
        <v>12</v>
      </c>
      <c r="C6" s="33" t="s">
        <v>13</v>
      </c>
      <c r="D6" s="32"/>
      <c r="E6" s="34"/>
      <c r="F6" s="33" t="s">
        <v>14</v>
      </c>
      <c r="G6" s="33" t="s">
        <v>15</v>
      </c>
      <c r="H6" s="33" t="s">
        <v>16</v>
      </c>
      <c r="I6" s="35"/>
      <c r="J6" s="35"/>
      <c r="K6" s="35"/>
      <c r="L6" s="35"/>
      <c r="M6" s="35"/>
      <c r="N6" s="35"/>
    </row>
    <row r="7" spans="1:14" x14ac:dyDescent="0.3">
      <c r="A7" s="25" t="s">
        <v>17</v>
      </c>
      <c r="B7" s="37">
        <v>30</v>
      </c>
      <c r="C7" s="37">
        <v>25</v>
      </c>
      <c r="D7" s="26"/>
      <c r="E7" s="27" t="s">
        <v>17</v>
      </c>
      <c r="F7" s="37">
        <v>25</v>
      </c>
      <c r="G7" s="37">
        <v>25</v>
      </c>
      <c r="H7" s="37">
        <v>23</v>
      </c>
      <c r="I7" s="23"/>
      <c r="J7" s="23"/>
      <c r="K7" s="23"/>
      <c r="L7" s="23"/>
      <c r="M7" s="23"/>
      <c r="N7" s="23"/>
    </row>
    <row r="8" spans="1:14" x14ac:dyDescent="0.3">
      <c r="A8" s="25" t="s">
        <v>18</v>
      </c>
      <c r="B8" s="26">
        <f>B7*B20</f>
        <v>189000000</v>
      </c>
      <c r="C8" s="26">
        <f>C7*C20</f>
        <v>157500000</v>
      </c>
      <c r="D8" s="26"/>
      <c r="E8" s="27" t="s">
        <v>18</v>
      </c>
      <c r="F8" s="26">
        <f>F7*F20</f>
        <v>157500000</v>
      </c>
      <c r="G8" s="26">
        <f>G7*G20</f>
        <v>157500000</v>
      </c>
      <c r="H8" s="26">
        <f>H7*H20</f>
        <v>144900000</v>
      </c>
      <c r="I8" s="23"/>
      <c r="J8" s="23"/>
      <c r="K8" s="23"/>
      <c r="L8" s="23"/>
      <c r="M8" s="23"/>
      <c r="N8" s="23"/>
    </row>
    <row r="9" spans="1:14" x14ac:dyDescent="0.3">
      <c r="A9" s="23" t="s">
        <v>19</v>
      </c>
      <c r="B9" s="26">
        <f>B8-B10</f>
        <v>120000000</v>
      </c>
      <c r="C9" s="26">
        <f>C8-C10</f>
        <v>100000000</v>
      </c>
      <c r="D9" s="26"/>
      <c r="E9" s="28" t="s">
        <v>19</v>
      </c>
      <c r="F9" s="26">
        <f>F8-F10</f>
        <v>100000000</v>
      </c>
      <c r="G9" s="26">
        <f>G8-G10</f>
        <v>100000000</v>
      </c>
      <c r="H9" s="26">
        <f>H8-H10</f>
        <v>92000000</v>
      </c>
      <c r="I9" s="23"/>
      <c r="J9" s="23"/>
      <c r="K9" s="23"/>
      <c r="L9" s="23"/>
      <c r="M9" s="23"/>
      <c r="N9" s="23"/>
    </row>
    <row r="10" spans="1:14" x14ac:dyDescent="0.3">
      <c r="A10" s="23" t="s">
        <v>20</v>
      </c>
      <c r="B10" s="26">
        <f>B7*(B15+B16)</f>
        <v>69000000</v>
      </c>
      <c r="C10" s="26">
        <f>C7*(C15+C16)</f>
        <v>57500000</v>
      </c>
      <c r="D10" s="26"/>
      <c r="E10" s="23" t="s">
        <v>20</v>
      </c>
      <c r="F10" s="26">
        <f>F7*(F15+F16)</f>
        <v>57500000</v>
      </c>
      <c r="G10" s="26">
        <f>G7*(G15+G16)</f>
        <v>57500000</v>
      </c>
      <c r="H10" s="26">
        <f>H7*(H15+H16)</f>
        <v>52900000</v>
      </c>
      <c r="I10" s="23"/>
      <c r="J10" s="23"/>
      <c r="K10" s="23"/>
      <c r="L10" s="23"/>
      <c r="M10" s="23"/>
      <c r="N10" s="23"/>
    </row>
    <row r="11" spans="1:14" x14ac:dyDescent="0.3">
      <c r="A11" s="23" t="s">
        <v>21</v>
      </c>
      <c r="B11" s="26">
        <f t="shared" ref="B11:C11" si="0">B7*(B15+B16+B17)</f>
        <v>69000000</v>
      </c>
      <c r="C11" s="26">
        <f t="shared" si="0"/>
        <v>57500000</v>
      </c>
      <c r="D11" s="26"/>
      <c r="E11" s="23" t="s">
        <v>21</v>
      </c>
      <c r="F11" s="26">
        <f t="shared" ref="F11:H11" si="1">F7*(F15+F16+F17)</f>
        <v>57500000</v>
      </c>
      <c r="G11" s="26">
        <f t="shared" si="1"/>
        <v>69197850</v>
      </c>
      <c r="H11" s="26">
        <f t="shared" si="1"/>
        <v>63662022</v>
      </c>
      <c r="I11" s="23"/>
      <c r="J11" s="23"/>
      <c r="K11" s="23"/>
      <c r="L11" s="23"/>
      <c r="M11" s="23"/>
      <c r="N11" s="23"/>
    </row>
    <row r="12" spans="1:14" x14ac:dyDescent="0.3">
      <c r="A12" s="25" t="s">
        <v>22</v>
      </c>
      <c r="B12" s="26">
        <f>B10*0.07</f>
        <v>4830000</v>
      </c>
      <c r="C12" s="26">
        <f>C10*0.07</f>
        <v>4025000.0000000005</v>
      </c>
      <c r="D12" s="26"/>
      <c r="E12" s="25" t="s">
        <v>22</v>
      </c>
      <c r="F12" s="26">
        <f>F10*0.07</f>
        <v>4025000.0000000005</v>
      </c>
      <c r="G12" s="26">
        <f>G10*0.07</f>
        <v>4025000.0000000005</v>
      </c>
      <c r="H12" s="26">
        <f>H10*0.07</f>
        <v>3703000.0000000005</v>
      </c>
      <c r="I12" s="23"/>
      <c r="J12" s="23"/>
      <c r="K12" s="23"/>
      <c r="L12" s="23"/>
      <c r="M12" s="23"/>
      <c r="N12" s="23"/>
    </row>
    <row r="13" spans="1:14" x14ac:dyDescent="0.3">
      <c r="A13" s="25" t="s">
        <v>23</v>
      </c>
      <c r="B13" s="26">
        <f>B10-B12</f>
        <v>64170000</v>
      </c>
      <c r="C13" s="26">
        <f>C10-C12</f>
        <v>53475000</v>
      </c>
      <c r="D13" s="26"/>
      <c r="E13" s="25" t="s">
        <v>23</v>
      </c>
      <c r="F13" s="26">
        <f>F10-F12</f>
        <v>53475000</v>
      </c>
      <c r="G13" s="26">
        <f>G10-G12</f>
        <v>53475000</v>
      </c>
      <c r="H13" s="26">
        <f>H10-H12</f>
        <v>49197000</v>
      </c>
      <c r="I13" s="23"/>
      <c r="J13" s="23"/>
      <c r="K13" s="23"/>
      <c r="L13" s="23"/>
      <c r="M13" s="23"/>
      <c r="N13" s="23"/>
    </row>
    <row r="14" spans="1:14" x14ac:dyDescent="0.3">
      <c r="A14" s="23"/>
      <c r="B14" s="26"/>
      <c r="C14" s="26"/>
      <c r="D14" s="26"/>
      <c r="E14" s="28"/>
      <c r="F14" s="26"/>
      <c r="G14" s="26"/>
      <c r="H14" s="26"/>
      <c r="I14" s="23"/>
      <c r="J14" s="23"/>
      <c r="K14" s="23"/>
      <c r="L14" s="23"/>
      <c r="M14" s="23"/>
      <c r="N14" s="23"/>
    </row>
    <row r="15" spans="1:14" x14ac:dyDescent="0.3">
      <c r="A15" s="27" t="s">
        <v>24</v>
      </c>
      <c r="B15" s="37">
        <v>2000000</v>
      </c>
      <c r="C15" s="37">
        <v>2000000</v>
      </c>
      <c r="D15" s="26"/>
      <c r="E15" s="27" t="s">
        <v>24</v>
      </c>
      <c r="F15" s="37">
        <v>2000000</v>
      </c>
      <c r="G15" s="37">
        <v>2000000</v>
      </c>
      <c r="H15" s="37">
        <v>2000000</v>
      </c>
      <c r="I15" s="23"/>
      <c r="J15" s="23"/>
      <c r="K15" s="23"/>
      <c r="L15" s="23"/>
      <c r="M15" s="23"/>
      <c r="N15" s="23"/>
    </row>
    <row r="16" spans="1:14" x14ac:dyDescent="0.3">
      <c r="A16" s="25" t="s">
        <v>25</v>
      </c>
      <c r="B16" s="37">
        <v>300000</v>
      </c>
      <c r="C16" s="37">
        <v>300000</v>
      </c>
      <c r="D16" s="26"/>
      <c r="E16" s="27" t="s">
        <v>25</v>
      </c>
      <c r="F16" s="37">
        <v>300000</v>
      </c>
      <c r="G16" s="37">
        <v>300000</v>
      </c>
      <c r="H16" s="37">
        <v>300000</v>
      </c>
      <c r="I16" s="23"/>
      <c r="J16" s="23"/>
      <c r="K16" s="23"/>
      <c r="L16" s="23"/>
      <c r="M16" s="23"/>
      <c r="N16" s="23"/>
    </row>
    <row r="17" spans="1:14" s="3" customFormat="1" x14ac:dyDescent="0.3">
      <c r="A17" s="27" t="s">
        <v>26</v>
      </c>
      <c r="B17" s="38">
        <v>0</v>
      </c>
      <c r="C17" s="38">
        <v>0</v>
      </c>
      <c r="D17" s="29"/>
      <c r="E17" s="27" t="s">
        <v>26</v>
      </c>
      <c r="F17" s="38">
        <v>0</v>
      </c>
      <c r="G17" s="38">
        <v>467914</v>
      </c>
      <c r="H17" s="38">
        <v>467914</v>
      </c>
      <c r="I17" s="28"/>
      <c r="J17" s="28"/>
      <c r="K17" s="28"/>
      <c r="L17" s="28"/>
      <c r="M17" s="28"/>
      <c r="N17" s="28"/>
    </row>
    <row r="18" spans="1:14" x14ac:dyDescent="0.3">
      <c r="A18" s="25" t="s">
        <v>27</v>
      </c>
      <c r="B18" s="26">
        <f t="shared" ref="B18:C18" si="2">B17+B15+B16</f>
        <v>2300000</v>
      </c>
      <c r="C18" s="26">
        <f t="shared" si="2"/>
        <v>2300000</v>
      </c>
      <c r="D18" s="26"/>
      <c r="E18" s="25" t="s">
        <v>27</v>
      </c>
      <c r="F18" s="26">
        <f>F17+F15+F16</f>
        <v>2300000</v>
      </c>
      <c r="G18" s="26">
        <f t="shared" ref="G18:H18" si="3">G17+G15+G16</f>
        <v>2767914</v>
      </c>
      <c r="H18" s="26">
        <f t="shared" si="3"/>
        <v>2767914</v>
      </c>
      <c r="I18" s="23"/>
      <c r="J18" s="23"/>
      <c r="K18" s="23"/>
      <c r="L18" s="23"/>
      <c r="M18" s="23"/>
      <c r="N18" s="23"/>
    </row>
    <row r="19" spans="1:14" x14ac:dyDescent="0.3">
      <c r="A19" s="25" t="s">
        <v>43</v>
      </c>
      <c r="B19" s="37">
        <v>4000000</v>
      </c>
      <c r="C19" s="37">
        <v>4000000</v>
      </c>
      <c r="D19" s="26"/>
      <c r="E19" s="25" t="s">
        <v>43</v>
      </c>
      <c r="F19" s="37">
        <v>4000000</v>
      </c>
      <c r="G19" s="37">
        <v>4000000</v>
      </c>
      <c r="H19" s="37">
        <v>4000000</v>
      </c>
      <c r="I19" s="23"/>
      <c r="J19" s="23"/>
      <c r="K19" s="23"/>
      <c r="L19" s="23"/>
      <c r="M19" s="23"/>
      <c r="N19" s="23"/>
    </row>
    <row r="20" spans="1:14" x14ac:dyDescent="0.3">
      <c r="A20" s="25" t="s">
        <v>28</v>
      </c>
      <c r="B20" s="26">
        <f>B18+B19-B17</f>
        <v>6300000</v>
      </c>
      <c r="C20" s="26">
        <f>C18+C19-C17</f>
        <v>6300000</v>
      </c>
      <c r="D20" s="26"/>
      <c r="E20" s="25" t="s">
        <v>28</v>
      </c>
      <c r="F20" s="26">
        <f>F18+F19-F17</f>
        <v>6300000</v>
      </c>
      <c r="G20" s="26">
        <f t="shared" ref="G20:H20" si="4">G18+G19-G17</f>
        <v>6300000</v>
      </c>
      <c r="H20" s="26">
        <f t="shared" si="4"/>
        <v>6300000</v>
      </c>
      <c r="I20" s="23"/>
      <c r="J20" s="23"/>
      <c r="K20" s="23"/>
      <c r="L20" s="23"/>
      <c r="M20" s="23"/>
      <c r="N20" s="23"/>
    </row>
    <row r="21" spans="1:14" x14ac:dyDescent="0.3">
      <c r="A21" s="23"/>
      <c r="B21" s="23"/>
      <c r="C21" s="23"/>
      <c r="D21" s="23"/>
      <c r="E21" s="28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3">
      <c r="A22" s="23"/>
      <c r="B22" s="49" t="s">
        <v>44</v>
      </c>
      <c r="C22" s="49"/>
      <c r="D22" s="23"/>
      <c r="E22" s="28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3">
      <c r="A23" s="30"/>
      <c r="B23" s="40" t="s">
        <v>30</v>
      </c>
      <c r="C23" s="40" t="s">
        <v>30</v>
      </c>
      <c r="D23" s="26" t="s">
        <v>29</v>
      </c>
      <c r="E23" s="2"/>
      <c r="F23" s="23"/>
      <c r="G23" s="23"/>
      <c r="H23" s="23"/>
      <c r="I23" s="23"/>
      <c r="J23" s="23"/>
      <c r="K23" s="23"/>
      <c r="L23" s="23"/>
      <c r="M23" s="23"/>
      <c r="N23" s="23"/>
    </row>
    <row r="24" spans="1:14" x14ac:dyDescent="0.3">
      <c r="A24" s="23" t="s">
        <v>31</v>
      </c>
      <c r="B24" s="26">
        <f>B7</f>
        <v>30</v>
      </c>
      <c r="C24" s="26">
        <f>C7</f>
        <v>25</v>
      </c>
      <c r="D24" s="26"/>
      <c r="E24" s="2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3">
      <c r="A25" s="11" t="s">
        <v>10</v>
      </c>
      <c r="B25" s="26">
        <f t="shared" ref="B25:B35" si="5">D25*B$24</f>
        <v>24000000</v>
      </c>
      <c r="C25" s="26">
        <f t="shared" ref="C25:C35" si="6">D25*C$24</f>
        <v>20000000</v>
      </c>
      <c r="D25" s="26">
        <f>'IPO (a)'!C12+'IPO (a)'!F12</f>
        <v>800000</v>
      </c>
      <c r="E25" s="2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">
      <c r="A26" s="11" t="s">
        <v>11</v>
      </c>
      <c r="B26" s="26">
        <f t="shared" si="5"/>
        <v>15750000</v>
      </c>
      <c r="C26" s="26">
        <f t="shared" si="6"/>
        <v>13125000</v>
      </c>
      <c r="D26" s="26">
        <f>'IPO (a)'!C13+'IPO (a)'!F13</f>
        <v>525000</v>
      </c>
      <c r="E26" s="2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3">
      <c r="A27" s="24" t="s">
        <v>11</v>
      </c>
      <c r="B27" s="26">
        <f t="shared" si="5"/>
        <v>5374999.9999999795</v>
      </c>
      <c r="C27" s="26">
        <f t="shared" si="6"/>
        <v>4479166.6666666493</v>
      </c>
      <c r="D27" s="26">
        <f>'IPO (a)'!C14+'IPO (a)'!F14</f>
        <v>179166.66666666599</v>
      </c>
      <c r="F27" s="23"/>
      <c r="G27" s="23"/>
      <c r="H27" s="23"/>
      <c r="I27" s="23"/>
      <c r="J27" s="23"/>
      <c r="K27" s="23"/>
      <c r="L27" s="23"/>
      <c r="M27" s="23"/>
      <c r="N27" s="23"/>
    </row>
    <row r="28" spans="1:14" x14ac:dyDescent="0.3">
      <c r="A28" s="24" t="s">
        <v>45</v>
      </c>
      <c r="B28" s="26">
        <f t="shared" si="5"/>
        <v>14037420.320855618</v>
      </c>
      <c r="C28" s="26">
        <f t="shared" si="6"/>
        <v>11697850.267379681</v>
      </c>
      <c r="D28" s="26">
        <f>'IPO (a)'!C15+'IPO (a)'!F15</f>
        <v>467914.01069518726</v>
      </c>
      <c r="F28" s="23"/>
      <c r="G28" s="23"/>
      <c r="H28" s="23"/>
      <c r="I28" s="23"/>
      <c r="J28" s="23"/>
      <c r="K28" s="23"/>
      <c r="L28" s="23"/>
      <c r="M28" s="23"/>
      <c r="N28" s="23"/>
    </row>
    <row r="29" spans="1:14" x14ac:dyDescent="0.3">
      <c r="A29" s="24" t="s">
        <v>46</v>
      </c>
      <c r="B29" s="26">
        <f t="shared" si="5"/>
        <v>18449210.69518717</v>
      </c>
      <c r="C29" s="26">
        <f t="shared" si="6"/>
        <v>15374342.245989308</v>
      </c>
      <c r="D29" s="26">
        <f>'IPO (a)'!C16+'IPO (a)'!F16</f>
        <v>614973.6898395723</v>
      </c>
      <c r="F29" s="23"/>
      <c r="G29" s="23"/>
      <c r="H29" s="23"/>
      <c r="I29" s="23"/>
      <c r="J29" s="23"/>
      <c r="K29" s="23"/>
      <c r="L29" s="23"/>
      <c r="M29" s="23"/>
      <c r="N29" s="23"/>
    </row>
    <row r="30" spans="1:14" x14ac:dyDescent="0.3">
      <c r="A30" s="24" t="s">
        <v>47</v>
      </c>
      <c r="B30" s="26">
        <f t="shared" si="5"/>
        <v>24000000</v>
      </c>
      <c r="C30" s="26">
        <f t="shared" si="6"/>
        <v>20000000</v>
      </c>
      <c r="D30" s="26">
        <f>'IPO (a)'!C17+'IPO (a)'!F17</f>
        <v>800000</v>
      </c>
      <c r="F30" s="23"/>
      <c r="G30" s="23"/>
      <c r="H30" s="23"/>
      <c r="I30" s="23"/>
      <c r="J30" s="23"/>
      <c r="K30" s="23"/>
      <c r="L30" s="23"/>
      <c r="M30" s="23"/>
      <c r="N30" s="23"/>
    </row>
    <row r="31" spans="1:14" x14ac:dyDescent="0.3">
      <c r="A31" s="24" t="s">
        <v>48</v>
      </c>
      <c r="B31" s="26">
        <f t="shared" si="5"/>
        <v>10347593.582887702</v>
      </c>
      <c r="C31" s="26">
        <f t="shared" si="6"/>
        <v>8622994.6524064187</v>
      </c>
      <c r="D31" s="26">
        <f>'IPO (a)'!C18+'IPO (a)'!F18</f>
        <v>344919.78609625675</v>
      </c>
      <c r="F31" s="23"/>
      <c r="G31" s="23"/>
      <c r="H31" s="23"/>
      <c r="I31" s="23"/>
      <c r="J31" s="23"/>
      <c r="K31" s="23"/>
      <c r="L31" s="23"/>
      <c r="M31" s="23"/>
      <c r="N31" s="23"/>
    </row>
    <row r="32" spans="1:14" x14ac:dyDescent="0.3">
      <c r="A32" s="24" t="s">
        <v>49</v>
      </c>
      <c r="B32" s="26">
        <f t="shared" si="5"/>
        <v>8040780</v>
      </c>
      <c r="C32" s="26">
        <f t="shared" si="6"/>
        <v>6700650</v>
      </c>
      <c r="D32" s="26">
        <f>'IPO (a)'!C19+'IPO (a)'!F19</f>
        <v>268026</v>
      </c>
      <c r="F32" s="23"/>
      <c r="G32" s="23"/>
      <c r="H32" s="23"/>
      <c r="I32" s="23"/>
      <c r="J32" s="23"/>
      <c r="K32" s="23"/>
      <c r="L32" s="23"/>
      <c r="M32" s="23"/>
      <c r="N32" s="23"/>
    </row>
    <row r="33" spans="1:14" x14ac:dyDescent="0.3">
      <c r="A33" s="24" t="s">
        <v>51</v>
      </c>
      <c r="B33" s="26">
        <f t="shared" si="5"/>
        <v>9000000</v>
      </c>
      <c r="C33" s="26">
        <f t="shared" si="6"/>
        <v>7500000</v>
      </c>
      <c r="D33" s="26">
        <f>B16</f>
        <v>300000</v>
      </c>
      <c r="F33" s="23"/>
      <c r="G33" s="23"/>
      <c r="H33" s="23"/>
      <c r="I33" s="23"/>
      <c r="J33" s="23"/>
      <c r="K33" s="23"/>
      <c r="L33" s="23"/>
      <c r="M33" s="23"/>
      <c r="N33" s="23"/>
    </row>
    <row r="34" spans="1:14" x14ac:dyDescent="0.3">
      <c r="A34" s="24" t="s">
        <v>52</v>
      </c>
      <c r="B34" s="26">
        <f t="shared" si="5"/>
        <v>0</v>
      </c>
      <c r="C34" s="26">
        <f t="shared" si="6"/>
        <v>0</v>
      </c>
      <c r="D34" s="26">
        <f>'IPO (a)'!G20</f>
        <v>0</v>
      </c>
      <c r="F34" s="23"/>
      <c r="G34" s="23"/>
      <c r="H34" s="23"/>
      <c r="I34" s="23"/>
      <c r="J34" s="23"/>
      <c r="K34" s="23"/>
      <c r="L34" s="23"/>
      <c r="M34" s="23"/>
      <c r="N34" s="23"/>
    </row>
    <row r="35" spans="1:14" x14ac:dyDescent="0.3">
      <c r="A35" s="41" t="s">
        <v>32</v>
      </c>
      <c r="B35" s="39">
        <f t="shared" si="5"/>
        <v>60000000</v>
      </c>
      <c r="C35" s="39">
        <f t="shared" si="6"/>
        <v>50000000</v>
      </c>
      <c r="D35" s="39">
        <f>B15</f>
        <v>2000000</v>
      </c>
      <c r="E35" s="2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3">
      <c r="B36" s="26">
        <f>SUM(B25:B35)</f>
        <v>189000004.59893048</v>
      </c>
      <c r="C36" s="26">
        <f>SUM(C25:C35)</f>
        <v>157500003.83244205</v>
      </c>
      <c r="D36" s="26">
        <f>SUM(D25:D35)</f>
        <v>6300000.1532976823</v>
      </c>
      <c r="E36" s="2"/>
      <c r="F36" s="23"/>
      <c r="G36" s="23"/>
      <c r="H36" s="23"/>
      <c r="I36" s="23"/>
      <c r="J36" s="23"/>
      <c r="K36" s="23"/>
      <c r="L36" s="23"/>
      <c r="M36" s="23"/>
      <c r="N36" s="23"/>
    </row>
    <row r="37" spans="1:14" x14ac:dyDescent="0.3">
      <c r="A37" s="23"/>
      <c r="D37" s="26"/>
      <c r="E37" s="28"/>
      <c r="F37" s="23"/>
      <c r="G37" s="23"/>
      <c r="H37" s="23"/>
      <c r="I37" s="23"/>
      <c r="J37" s="23"/>
      <c r="K37" s="23"/>
      <c r="L37" s="23"/>
      <c r="M37" s="23"/>
      <c r="N37" s="23"/>
    </row>
    <row r="38" spans="1:14" x14ac:dyDescent="0.3">
      <c r="A38" s="23"/>
      <c r="B38" s="23"/>
      <c r="C38" s="23"/>
      <c r="D38" s="23"/>
      <c r="E38" s="28"/>
      <c r="F38" s="23"/>
      <c r="G38" s="23"/>
      <c r="H38" s="23"/>
      <c r="I38" s="23"/>
      <c r="J38" s="23"/>
      <c r="K38" s="23"/>
      <c r="L38" s="23"/>
      <c r="M38" s="23"/>
      <c r="N38" s="23"/>
    </row>
  </sheetData>
  <mergeCells count="3">
    <mergeCell ref="B5:C5"/>
    <mergeCell ref="F5:H5"/>
    <mergeCell ref="B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Copyright</vt:lpstr>
      <vt:lpstr>IPO (a)</vt:lpstr>
      <vt:lpstr>IPO (b)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2020-07-08T21:31:36Z</dcterms:created>
  <dcterms:modified xsi:type="dcterms:W3CDTF">2021-05-15T15:45:33Z</dcterms:modified>
</cp:coreProperties>
</file>