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2" r:id="rId1"/>
    <sheet name="Capitalization" sheetId="3" r:id="rId2"/>
    <sheet name="Return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4" l="1"/>
  <c r="H31" i="3"/>
  <c r="J30" i="3"/>
  <c r="S22" i="4" l="1"/>
  <c r="S20" i="4"/>
  <c r="S17" i="4"/>
  <c r="H31" i="4"/>
  <c r="G31" i="4"/>
  <c r="F31" i="4"/>
  <c r="E31" i="4"/>
  <c r="D31" i="4"/>
  <c r="S19" i="4" s="1"/>
  <c r="S15" i="4"/>
  <c r="J30" i="4"/>
  <c r="H30" i="4"/>
  <c r="G30" i="4"/>
  <c r="F30" i="4"/>
  <c r="E30" i="4"/>
  <c r="D30" i="4"/>
  <c r="G27" i="4"/>
  <c r="S16" i="4" l="1"/>
  <c r="S18" i="4"/>
  <c r="S21" i="4"/>
  <c r="L10" i="4"/>
  <c r="L11" i="4"/>
  <c r="L12" i="4"/>
  <c r="L13" i="4"/>
  <c r="L14" i="4"/>
  <c r="L9" i="4"/>
  <c r="L16" i="4"/>
  <c r="L17" i="4"/>
  <c r="L18" i="4"/>
  <c r="L19" i="4"/>
  <c r="L20" i="4"/>
  <c r="L21" i="4"/>
  <c r="L22" i="4"/>
  <c r="L15" i="4"/>
  <c r="D24" i="4"/>
  <c r="D27" i="4" s="1"/>
  <c r="E24" i="4"/>
  <c r="E27" i="4" s="1"/>
  <c r="F24" i="4"/>
  <c r="F27" i="4" s="1"/>
  <c r="H24" i="4"/>
  <c r="H27" i="4" s="1"/>
  <c r="C24" i="4"/>
  <c r="S24" i="4" l="1"/>
  <c r="C25" i="4"/>
  <c r="C27" i="4"/>
  <c r="D25" i="4"/>
  <c r="E25" i="4" s="1"/>
  <c r="F25" i="4" s="1"/>
  <c r="H25" i="4" s="1"/>
  <c r="L24" i="4"/>
  <c r="J23" i="3"/>
  <c r="J24" i="3"/>
  <c r="J25" i="3"/>
  <c r="J26" i="3"/>
  <c r="J27" i="3"/>
  <c r="J28" i="3"/>
  <c r="J29" i="3"/>
  <c r="J17" i="3"/>
  <c r="J18" i="3"/>
  <c r="J19" i="3"/>
  <c r="J20" i="3"/>
  <c r="J21" i="3"/>
  <c r="J22" i="3"/>
  <c r="J16" i="3"/>
  <c r="F12" i="3"/>
  <c r="E12" i="3"/>
  <c r="H12" i="3"/>
  <c r="D12" i="3"/>
  <c r="D13" i="3" s="1"/>
  <c r="E13" i="3" s="1"/>
  <c r="F31" i="3"/>
  <c r="D31" i="3"/>
  <c r="E31" i="3"/>
  <c r="C31" i="3"/>
  <c r="C32" i="3" s="1"/>
  <c r="C13" i="3"/>
  <c r="E10" i="3"/>
  <c r="F10" i="3"/>
  <c r="H10" i="3"/>
  <c r="J10" i="3"/>
  <c r="D10" i="3"/>
  <c r="D32" i="3" l="1"/>
  <c r="E32" i="3"/>
  <c r="F32" i="3" s="1"/>
  <c r="H32" i="3" s="1"/>
  <c r="J32" i="3" s="1"/>
  <c r="K20" i="3" s="1"/>
  <c r="K13" i="4" s="1"/>
  <c r="J13" i="4" s="1"/>
  <c r="R13" i="4" s="1"/>
  <c r="P13" i="4" s="1"/>
  <c r="F13" i="3"/>
  <c r="H13" i="3" s="1"/>
  <c r="K17" i="3" l="1"/>
  <c r="K10" i="4" s="1"/>
  <c r="J10" i="4" s="1"/>
  <c r="R10" i="4" s="1"/>
  <c r="P10" i="4" s="1"/>
  <c r="K30" i="3"/>
  <c r="K23" i="4" s="1"/>
  <c r="J23" i="4" s="1"/>
  <c r="K16" i="3"/>
  <c r="K9" i="4" s="1"/>
  <c r="J9" i="4" s="1"/>
  <c r="R9" i="4" s="1"/>
  <c r="P9" i="4" s="1"/>
  <c r="K29" i="3"/>
  <c r="K22" i="4" s="1"/>
  <c r="J22" i="4" s="1"/>
  <c r="K27" i="3"/>
  <c r="K20" i="4" s="1"/>
  <c r="J20" i="4" s="1"/>
  <c r="K26" i="3"/>
  <c r="K19" i="4" s="1"/>
  <c r="J19" i="4" s="1"/>
  <c r="K25" i="3"/>
  <c r="K18" i="4" s="1"/>
  <c r="J18" i="4" s="1"/>
  <c r="K28" i="3"/>
  <c r="K21" i="4" s="1"/>
  <c r="J21" i="4" s="1"/>
  <c r="K23" i="3"/>
  <c r="K16" i="4" s="1"/>
  <c r="J16" i="4" s="1"/>
  <c r="K22" i="3"/>
  <c r="K15" i="4" s="1"/>
  <c r="J15" i="4" s="1"/>
  <c r="K21" i="3"/>
  <c r="K14" i="4" s="1"/>
  <c r="J14" i="4" s="1"/>
  <c r="R14" i="4" s="1"/>
  <c r="P14" i="4" s="1"/>
  <c r="K24" i="3"/>
  <c r="K17" i="4" s="1"/>
  <c r="J17" i="4" s="1"/>
  <c r="K19" i="3"/>
  <c r="K12" i="4" s="1"/>
  <c r="J12" i="4" s="1"/>
  <c r="R12" i="4" s="1"/>
  <c r="P12" i="4" s="1"/>
  <c r="K18" i="3"/>
  <c r="K11" i="4" s="1"/>
  <c r="J11" i="4" s="1"/>
  <c r="R11" i="4" s="1"/>
  <c r="P11" i="4" s="1"/>
  <c r="R17" i="4" l="1"/>
  <c r="P17" i="4" s="1"/>
  <c r="N17" i="4"/>
  <c r="O17" i="4"/>
  <c r="R21" i="4"/>
  <c r="P21" i="4" s="1"/>
  <c r="N21" i="4"/>
  <c r="O21" i="4"/>
  <c r="R22" i="4"/>
  <c r="P22" i="4" s="1"/>
  <c r="N22" i="4"/>
  <c r="O22" i="4"/>
  <c r="R18" i="4"/>
  <c r="P18" i="4" s="1"/>
  <c r="N18" i="4"/>
  <c r="O18" i="4"/>
  <c r="N15" i="4"/>
  <c r="O15" i="4"/>
  <c r="R15" i="4"/>
  <c r="P15" i="4" s="1"/>
  <c r="J27" i="4"/>
  <c r="R19" i="4"/>
  <c r="P19" i="4" s="1"/>
  <c r="N19" i="4"/>
  <c r="O19" i="4"/>
  <c r="R16" i="4"/>
  <c r="P16" i="4" s="1"/>
  <c r="N16" i="4"/>
  <c r="O16" i="4"/>
  <c r="R20" i="4"/>
  <c r="P20" i="4" s="1"/>
  <c r="N20" i="4"/>
  <c r="O20" i="4"/>
  <c r="K32" i="3"/>
  <c r="R24" i="4" l="1"/>
  <c r="P24" i="4" s="1"/>
  <c r="O24" i="4"/>
  <c r="N24" i="4"/>
</calcChain>
</file>

<file path=xl/sharedStrings.xml><?xml version="1.0" encoding="utf-8"?>
<sst xmlns="http://schemas.openxmlformats.org/spreadsheetml/2006/main" count="107" uniqueCount="67">
  <si>
    <t xml:space="preserve">Round  </t>
  </si>
  <si>
    <t>Pre-seed</t>
  </si>
  <si>
    <t xml:space="preserve">Seed </t>
  </si>
  <si>
    <t>A Round</t>
  </si>
  <si>
    <t>B Round</t>
  </si>
  <si>
    <t>C Round</t>
  </si>
  <si>
    <t>Exit</t>
  </si>
  <si>
    <t xml:space="preserve"> </t>
  </si>
  <si>
    <t>Share Price  ($)</t>
  </si>
  <si>
    <t>Round Investment ($)</t>
  </si>
  <si>
    <t>Pre-money valuation ($)</t>
  </si>
  <si>
    <t>Post-money valuation ($)</t>
  </si>
  <si>
    <t>New shares issued</t>
  </si>
  <si>
    <t>Shares outstanding</t>
  </si>
  <si>
    <t>Individual shareholdings</t>
  </si>
  <si>
    <t>Ownership</t>
  </si>
  <si>
    <t>Stock Option Pool</t>
  </si>
  <si>
    <t>Total new shares</t>
  </si>
  <si>
    <t>Value at exit ($)</t>
  </si>
  <si>
    <t>Internal rate of return (IRR)</t>
  </si>
  <si>
    <t>© 2020 Marco Da Rin and Thomas Hellmann</t>
  </si>
  <si>
    <t>Fundamentals of Entrepreneurial Finance</t>
  </si>
  <si>
    <t>Chapter 11</t>
  </si>
  <si>
    <t>Epilogue</t>
  </si>
  <si>
    <t xml:space="preserve">Assessing the IPO option </t>
  </si>
  <si>
    <t>green background = input cells (from which formulas derive results)</t>
  </si>
  <si>
    <t>(this table replicates and extends the Table in WorkHorse Box  11.5 in the book)</t>
  </si>
  <si>
    <t xml:space="preserve">Year </t>
  </si>
  <si>
    <t>Year 1</t>
  </si>
  <si>
    <t>Year 2</t>
  </si>
  <si>
    <t>Year 3</t>
  </si>
  <si>
    <t>Year 4</t>
  </si>
  <si>
    <t>Year 5</t>
  </si>
  <si>
    <t>Year 6</t>
  </si>
  <si>
    <t>Round</t>
  </si>
  <si>
    <t>Investment ($)</t>
  </si>
  <si>
    <t>Cash-on-cash return (CCR)</t>
  </si>
  <si>
    <t>Total outstanding shares</t>
  </si>
  <si>
    <t>Total investment in round</t>
  </si>
  <si>
    <t>Total cumulative investment</t>
  </si>
  <si>
    <t>Total investment, by investor ($)</t>
  </si>
  <si>
    <t>Investor ownership</t>
  </si>
  <si>
    <t>Company value at exit</t>
  </si>
  <si>
    <t>Year 0</t>
  </si>
  <si>
    <t>(no round)</t>
  </si>
  <si>
    <t>Investment by and company value at exit accruing to investors</t>
  </si>
  <si>
    <t>Net Present Value of exit value ($)</t>
  </si>
  <si>
    <t>Net Present Value (NPV) ($)</t>
  </si>
  <si>
    <t>Net Present Value of investments ($)</t>
  </si>
  <si>
    <t>Discount factor for exit value</t>
  </si>
  <si>
    <t>Discount rate for exit value</t>
  </si>
  <si>
    <t>Discount rate for investments</t>
  </si>
  <si>
    <t>Discount factor for investments</t>
  </si>
  <si>
    <t>Astrid Dala</t>
  </si>
  <si>
    <t>Annie Ma</t>
  </si>
  <si>
    <t>Bharat Marwari</t>
  </si>
  <si>
    <t>Brandon Potro</t>
  </si>
  <si>
    <t>University of Michigan</t>
  </si>
  <si>
    <t>JP Potro</t>
  </si>
  <si>
    <t>Michael Archie</t>
  </si>
  <si>
    <t>Ang brothers</t>
  </si>
  <si>
    <t>Eagle-I Ventures</t>
  </si>
  <si>
    <t>Coyo-T Capital</t>
  </si>
  <si>
    <t>JetLuck</t>
  </si>
  <si>
    <t>GestütenTechnik</t>
  </si>
  <si>
    <t>Stanley Goldmorgan</t>
  </si>
  <si>
    <t>… other investors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</si>
</sst>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#,##0.0000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wrapText="1"/>
    </xf>
    <xf numFmtId="165" fontId="4" fillId="0" borderId="0" xfId="0" applyNumberFormat="1" applyFont="1"/>
    <xf numFmtId="164" fontId="4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9" fontId="4" fillId="0" borderId="0" xfId="0" applyNumberFormat="1" applyFont="1"/>
    <xf numFmtId="166" fontId="4" fillId="0" borderId="0" xfId="0" applyNumberFormat="1" applyFont="1"/>
    <xf numFmtId="0" fontId="4" fillId="0" borderId="0" xfId="0" applyNumberFormat="1" applyFont="1" applyAlignment="1">
      <alignment horizontal="center"/>
    </xf>
    <xf numFmtId="4" fontId="4" fillId="2" borderId="0" xfId="0" applyNumberFormat="1" applyFont="1" applyFill="1"/>
    <xf numFmtId="165" fontId="4" fillId="2" borderId="0" xfId="0" applyNumberFormat="1" applyFont="1" applyFill="1"/>
    <xf numFmtId="3" fontId="4" fillId="2" borderId="0" xfId="0" applyNumberFormat="1" applyFont="1" applyFill="1"/>
    <xf numFmtId="164" fontId="4" fillId="0" borderId="1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165" fontId="4" fillId="0" borderId="1" xfId="0" applyNumberFormat="1" applyFont="1" applyBorder="1"/>
    <xf numFmtId="3" fontId="4" fillId="2" borderId="0" xfId="0" applyNumberFormat="1" applyFont="1" applyFill="1" applyAlignment="1"/>
    <xf numFmtId="3" fontId="4" fillId="0" borderId="0" xfId="0" applyNumberFormat="1" applyFon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9" fontId="4" fillId="2" borderId="0" xfId="0" applyNumberFormat="1" applyFont="1" applyFill="1"/>
    <xf numFmtId="0" fontId="4" fillId="0" borderId="0" xfId="0" applyNumberFormat="1" applyFont="1" applyAlignment="1">
      <alignment horizontal="center"/>
    </xf>
    <xf numFmtId="3" fontId="4" fillId="2" borderId="1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3" fontId="7" fillId="0" borderId="0" xfId="1" applyNumberFormat="1" applyFont="1"/>
    <xf numFmtId="3" fontId="4" fillId="2" borderId="0" xfId="0" applyNumberFormat="1" applyFont="1" applyFill="1" applyBorder="1"/>
    <xf numFmtId="164" fontId="4" fillId="0" borderId="0" xfId="0" applyNumberFormat="1" applyFont="1" applyBorder="1"/>
    <xf numFmtId="3" fontId="4" fillId="2" borderId="0" xfId="0" applyNumberFormat="1" applyFont="1" applyFill="1" applyBorder="1" applyAlignment="1"/>
    <xf numFmtId="3" fontId="4" fillId="0" borderId="0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C24" sqref="C24"/>
    </sheetView>
  </sheetViews>
  <sheetFormatPr defaultRowHeight="14.4" x14ac:dyDescent="0.3"/>
  <sheetData>
    <row r="2" spans="1:1" ht="16.8" customHeight="1" x14ac:dyDescent="0.3"/>
    <row r="3" spans="1:1" ht="18" x14ac:dyDescent="0.35">
      <c r="A3" s="2" t="s">
        <v>20</v>
      </c>
    </row>
    <row r="4" spans="1:1" ht="18" x14ac:dyDescent="0.35">
      <c r="A4" s="2" t="s">
        <v>21</v>
      </c>
    </row>
    <row r="5" spans="1:1" ht="18" x14ac:dyDescent="0.35">
      <c r="A5" s="2" t="s">
        <v>22</v>
      </c>
    </row>
    <row r="6" spans="1:1" ht="18" x14ac:dyDescent="0.35">
      <c r="A6" s="2" t="s">
        <v>23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4" zoomScaleNormal="100" workbookViewId="0">
      <selection activeCell="A28" sqref="A28"/>
    </sheetView>
  </sheetViews>
  <sheetFormatPr defaultColWidth="8.6640625" defaultRowHeight="15.6" x14ac:dyDescent="0.3"/>
  <cols>
    <col min="1" max="1" width="63.109375" style="8" customWidth="1"/>
    <col min="2" max="2" width="24.6640625" style="8" bestFit="1" customWidth="1"/>
    <col min="3" max="3" width="14.6640625" style="8" customWidth="1"/>
    <col min="4" max="5" width="9.88671875" style="8" bestFit="1" customWidth="1"/>
    <col min="6" max="6" width="11" style="8" bestFit="1" customWidth="1"/>
    <col min="7" max="7" width="11" style="8" customWidth="1"/>
    <col min="8" max="8" width="11" style="8" bestFit="1" customWidth="1"/>
    <col min="9" max="9" width="6" style="8" customWidth="1"/>
    <col min="10" max="10" width="12.109375" style="8" bestFit="1" customWidth="1"/>
    <col min="11" max="11" width="11" style="8" bestFit="1" customWidth="1"/>
    <col min="12" max="16384" width="8.6640625" style="8"/>
  </cols>
  <sheetData>
    <row r="1" spans="1:15" s="5" customFormat="1" x14ac:dyDescent="0.3">
      <c r="A1" s="41" t="s">
        <v>23</v>
      </c>
      <c r="I1" s="6"/>
      <c r="J1" s="6"/>
      <c r="K1" s="6"/>
      <c r="L1" s="6"/>
      <c r="M1" s="6"/>
      <c r="N1" s="6"/>
      <c r="O1" s="6"/>
    </row>
    <row r="2" spans="1:15" s="5" customFormat="1" x14ac:dyDescent="0.3">
      <c r="A2" s="41" t="s">
        <v>26</v>
      </c>
      <c r="I2" s="6"/>
      <c r="J2" s="6"/>
      <c r="K2" s="6"/>
      <c r="L2" s="6"/>
      <c r="M2" s="6"/>
      <c r="N2" s="6"/>
      <c r="O2" s="6"/>
    </row>
    <row r="3" spans="1:15" s="5" customFormat="1" x14ac:dyDescent="0.3">
      <c r="A3" s="4" t="s">
        <v>25</v>
      </c>
      <c r="C3" s="7"/>
      <c r="I3" s="6"/>
      <c r="J3" s="6"/>
      <c r="K3" s="6"/>
      <c r="L3" s="6"/>
      <c r="M3" s="6"/>
      <c r="N3" s="6"/>
      <c r="O3" s="6"/>
    </row>
    <row r="4" spans="1:15" s="7" customFormat="1" x14ac:dyDescent="0.3"/>
    <row r="5" spans="1:15" s="7" customFormat="1" x14ac:dyDescent="0.3"/>
    <row r="6" spans="1:15" x14ac:dyDescent="0.3">
      <c r="B6" s="14" t="s">
        <v>34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44</v>
      </c>
      <c r="H6" s="15" t="s">
        <v>5</v>
      </c>
      <c r="J6" s="15" t="s">
        <v>6</v>
      </c>
      <c r="K6" s="8" t="s">
        <v>7</v>
      </c>
    </row>
    <row r="7" spans="1:15" x14ac:dyDescent="0.3">
      <c r="B7" s="8" t="s">
        <v>27</v>
      </c>
      <c r="C7" s="35" t="s">
        <v>43</v>
      </c>
      <c r="D7" s="35" t="s">
        <v>28</v>
      </c>
      <c r="E7" s="35" t="s">
        <v>29</v>
      </c>
      <c r="F7" s="35" t="s">
        <v>30</v>
      </c>
      <c r="G7" s="35" t="s">
        <v>31</v>
      </c>
      <c r="H7" s="35" t="s">
        <v>32</v>
      </c>
      <c r="J7" s="35" t="s">
        <v>33</v>
      </c>
    </row>
    <row r="8" spans="1:15" s="16" customFormat="1" x14ac:dyDescent="0.3">
      <c r="B8" s="16" t="s">
        <v>8</v>
      </c>
      <c r="C8" s="20" t="s">
        <v>7</v>
      </c>
      <c r="D8" s="21">
        <v>2</v>
      </c>
      <c r="E8" s="21">
        <v>4.8</v>
      </c>
      <c r="F8" s="21">
        <v>8</v>
      </c>
      <c r="G8" s="8"/>
      <c r="H8" s="21">
        <v>20</v>
      </c>
      <c r="J8" s="21">
        <v>28.5</v>
      </c>
    </row>
    <row r="9" spans="1:15" x14ac:dyDescent="0.3">
      <c r="B9" s="8" t="s">
        <v>9</v>
      </c>
      <c r="C9" s="22">
        <v>80000</v>
      </c>
      <c r="D9" s="22">
        <v>500000</v>
      </c>
      <c r="E9" s="22">
        <v>1999999.9999996752</v>
      </c>
      <c r="F9" s="22">
        <v>10000000</v>
      </c>
      <c r="H9" s="22">
        <v>17666666.666666679</v>
      </c>
      <c r="J9" s="22"/>
    </row>
    <row r="10" spans="1:15" x14ac:dyDescent="0.3">
      <c r="B10" s="8" t="s">
        <v>10</v>
      </c>
      <c r="C10" s="8" t="s">
        <v>7</v>
      </c>
      <c r="D10" s="8">
        <f>D11-D9</f>
        <v>2000000</v>
      </c>
      <c r="E10" s="8">
        <f t="shared" ref="E10:J10" si="0">E11-E9</f>
        <v>6000000</v>
      </c>
      <c r="F10" s="8">
        <f t="shared" si="0"/>
        <v>14933333.333332792</v>
      </c>
      <c r="H10" s="8">
        <f t="shared" si="0"/>
        <v>62333333.33333198</v>
      </c>
      <c r="J10" s="8">
        <f t="shared" si="0"/>
        <v>114000000</v>
      </c>
    </row>
    <row r="11" spans="1:15" x14ac:dyDescent="0.3">
      <c r="B11" s="8" t="s">
        <v>11</v>
      </c>
      <c r="C11" s="22" t="s">
        <v>7</v>
      </c>
      <c r="D11" s="22">
        <v>2500000</v>
      </c>
      <c r="E11" s="22">
        <v>7999999.999999675</v>
      </c>
      <c r="F11" s="22">
        <v>24933333.333332792</v>
      </c>
      <c r="H11" s="22">
        <v>79999999.999998659</v>
      </c>
      <c r="J11" s="22">
        <v>114000000</v>
      </c>
    </row>
    <row r="12" spans="1:15" x14ac:dyDescent="0.3">
      <c r="B12" s="8" t="s">
        <v>12</v>
      </c>
      <c r="C12" s="8">
        <v>1000000</v>
      </c>
      <c r="D12" s="8">
        <f>D9/D8</f>
        <v>250000</v>
      </c>
      <c r="E12" s="8">
        <f t="shared" ref="E12:H12" si="1">E9/E8</f>
        <v>416666.66666659899</v>
      </c>
      <c r="F12" s="8">
        <f>(F9/F8)+F21</f>
        <v>1450000</v>
      </c>
      <c r="H12" s="8">
        <f t="shared" si="1"/>
        <v>883333.33333333395</v>
      </c>
      <c r="K12" s="8" t="s">
        <v>7</v>
      </c>
    </row>
    <row r="13" spans="1:15" x14ac:dyDescent="0.3">
      <c r="B13" s="8" t="s">
        <v>13</v>
      </c>
      <c r="C13" s="8">
        <f>C12</f>
        <v>1000000</v>
      </c>
      <c r="D13" s="8">
        <f>C13+D12</f>
        <v>1250000</v>
      </c>
      <c r="E13" s="8">
        <f t="shared" ref="E13:F13" si="2">D13+E12</f>
        <v>1666666.666666599</v>
      </c>
      <c r="F13" s="8">
        <f t="shared" si="2"/>
        <v>3116666.666666599</v>
      </c>
      <c r="H13" s="8">
        <f>F13+H12</f>
        <v>3999999.9999999329</v>
      </c>
      <c r="J13" s="8" t="s">
        <v>7</v>
      </c>
      <c r="K13" s="8" t="s">
        <v>7</v>
      </c>
    </row>
    <row r="15" spans="1:15" x14ac:dyDescent="0.3">
      <c r="B15" s="14" t="s">
        <v>14</v>
      </c>
      <c r="C15" s="14"/>
      <c r="D15" s="14"/>
      <c r="E15" s="14"/>
      <c r="F15" s="14"/>
      <c r="G15" s="14"/>
      <c r="H15" s="14"/>
      <c r="J15" s="14"/>
      <c r="K15" s="14" t="s">
        <v>15</v>
      </c>
    </row>
    <row r="16" spans="1:15" x14ac:dyDescent="0.3">
      <c r="B16" s="42" t="s">
        <v>53</v>
      </c>
      <c r="C16" s="22">
        <v>210603.92980317865</v>
      </c>
      <c r="I16" s="18" t="s">
        <v>7</v>
      </c>
      <c r="J16" s="8">
        <f>SUM(C16:H16)</f>
        <v>210603.92980317865</v>
      </c>
      <c r="K16" s="11">
        <f>J16/$J$32</f>
        <v>5.2650982450795546E-2</v>
      </c>
      <c r="L16" s="18" t="s">
        <v>7</v>
      </c>
    </row>
    <row r="17" spans="2:11" x14ac:dyDescent="0.3">
      <c r="B17" s="42" t="s">
        <v>54</v>
      </c>
      <c r="C17" s="22">
        <v>198441.57907690873</v>
      </c>
      <c r="J17" s="8">
        <f t="shared" ref="J17:J30" si="3">SUM(C17:H17)</f>
        <v>198441.57907690873</v>
      </c>
      <c r="K17" s="11">
        <f>J17/$J$32</f>
        <v>4.9610394769228017E-2</v>
      </c>
    </row>
    <row r="18" spans="2:11" x14ac:dyDescent="0.3">
      <c r="B18" s="42" t="s">
        <v>55</v>
      </c>
      <c r="C18" s="22">
        <v>144264.33150733286</v>
      </c>
      <c r="J18" s="8">
        <f t="shared" si="3"/>
        <v>144264.33150733286</v>
      </c>
      <c r="K18" s="11">
        <f>J18/$J$32</f>
        <v>3.606608287683382E-2</v>
      </c>
    </row>
    <row r="19" spans="2:11" x14ac:dyDescent="0.3">
      <c r="B19" s="42" t="s">
        <v>56</v>
      </c>
      <c r="C19" s="22">
        <v>246690.15961257971</v>
      </c>
      <c r="J19" s="8">
        <f t="shared" si="3"/>
        <v>246690.15961257971</v>
      </c>
      <c r="K19" s="11">
        <f>J19/$J$32</f>
        <v>6.1672539903145959E-2</v>
      </c>
    </row>
    <row r="20" spans="2:11" x14ac:dyDescent="0.3">
      <c r="B20" s="42" t="s">
        <v>57</v>
      </c>
      <c r="C20" s="22">
        <v>50000</v>
      </c>
      <c r="J20" s="8">
        <f t="shared" si="3"/>
        <v>50000</v>
      </c>
      <c r="K20" s="11">
        <f>J20/$J$32</f>
        <v>1.2500000000000209E-2</v>
      </c>
    </row>
    <row r="21" spans="2:11" x14ac:dyDescent="0.3">
      <c r="B21" s="42" t="s">
        <v>16</v>
      </c>
      <c r="C21" s="22">
        <v>100000</v>
      </c>
      <c r="F21" s="22">
        <v>200000</v>
      </c>
      <c r="J21" s="8">
        <f t="shared" si="3"/>
        <v>300000</v>
      </c>
      <c r="K21" s="11">
        <f>J21/$J$32</f>
        <v>7.500000000000126E-2</v>
      </c>
    </row>
    <row r="22" spans="2:11" x14ac:dyDescent="0.3">
      <c r="B22" s="42" t="s">
        <v>58</v>
      </c>
      <c r="C22" s="22">
        <v>50000</v>
      </c>
      <c r="J22" s="8">
        <f t="shared" si="3"/>
        <v>50000</v>
      </c>
      <c r="K22" s="11">
        <f>J22/$J$32</f>
        <v>1.2500000000000209E-2</v>
      </c>
    </row>
    <row r="23" spans="2:11" x14ac:dyDescent="0.3">
      <c r="B23" s="42" t="s">
        <v>59</v>
      </c>
      <c r="D23" s="22">
        <v>125000</v>
      </c>
      <c r="E23" s="22">
        <v>41666.666666600002</v>
      </c>
      <c r="F23" s="22">
        <v>12500</v>
      </c>
      <c r="J23" s="8">
        <f>SUM(C23:H23)</f>
        <v>179166.66666660001</v>
      </c>
      <c r="K23" s="11">
        <f>J23/$J$32</f>
        <v>4.4791666666650756E-2</v>
      </c>
    </row>
    <row r="24" spans="2:11" x14ac:dyDescent="0.3">
      <c r="B24" s="42" t="s">
        <v>60</v>
      </c>
      <c r="D24" s="22">
        <v>125000</v>
      </c>
      <c r="J24" s="8">
        <f t="shared" si="3"/>
        <v>125000</v>
      </c>
      <c r="K24" s="11">
        <f>J24/$J$32</f>
        <v>3.125000000000052E-2</v>
      </c>
    </row>
    <row r="25" spans="2:11" x14ac:dyDescent="0.3">
      <c r="B25" s="8" t="s">
        <v>61</v>
      </c>
      <c r="E25" s="22">
        <v>208333.33333333299</v>
      </c>
      <c r="F25" s="22">
        <v>156250</v>
      </c>
      <c r="H25" s="22">
        <v>103331.01069518726</v>
      </c>
      <c r="J25" s="8">
        <f t="shared" si="3"/>
        <v>467914.34402852028</v>
      </c>
      <c r="K25" s="11">
        <f>J25/$J$32</f>
        <v>0.11697858600713203</v>
      </c>
    </row>
    <row r="26" spans="2:11" x14ac:dyDescent="0.3">
      <c r="B26" s="8" t="s">
        <v>62</v>
      </c>
      <c r="E26" s="22">
        <v>166666.66666666599</v>
      </c>
      <c r="F26" s="22">
        <v>312500</v>
      </c>
      <c r="H26" s="22">
        <v>135806.68983957233</v>
      </c>
      <c r="J26" s="8">
        <f t="shared" si="3"/>
        <v>614973.35650623834</v>
      </c>
      <c r="K26" s="11">
        <f>J26/$J$32</f>
        <v>0.15374333912656216</v>
      </c>
    </row>
    <row r="27" spans="2:11" x14ac:dyDescent="0.3">
      <c r="B27" s="8" t="s">
        <v>63</v>
      </c>
      <c r="F27" s="22">
        <v>500000</v>
      </c>
      <c r="H27" s="22">
        <v>300000</v>
      </c>
      <c r="J27" s="8">
        <f t="shared" si="3"/>
        <v>800000</v>
      </c>
      <c r="K27" s="11">
        <f>J27/$J$32</f>
        <v>0.20000000000000334</v>
      </c>
    </row>
    <row r="28" spans="2:11" x14ac:dyDescent="0.3">
      <c r="B28" s="8" t="s">
        <v>64</v>
      </c>
      <c r="F28" s="22">
        <v>268750</v>
      </c>
      <c r="H28" s="22">
        <v>76169.78609625675</v>
      </c>
      <c r="J28" s="8">
        <f t="shared" si="3"/>
        <v>344919.78609625675</v>
      </c>
      <c r="K28" s="11">
        <f>J28/$J$32</f>
        <v>8.622994652406564E-2</v>
      </c>
    </row>
    <row r="29" spans="2:11" x14ac:dyDescent="0.3">
      <c r="B29" s="24" t="s">
        <v>65</v>
      </c>
      <c r="C29" s="24"/>
      <c r="D29" s="24"/>
      <c r="E29" s="24"/>
      <c r="F29" s="24"/>
      <c r="G29" s="24"/>
      <c r="H29" s="43">
        <v>268025.84670231765</v>
      </c>
      <c r="I29" s="24"/>
      <c r="J29" s="24">
        <f>SUM(C29:H29)</f>
        <v>268025.84670231765</v>
      </c>
      <c r="K29" s="44">
        <f>J29/$J$32</f>
        <v>6.7006461675580539E-2</v>
      </c>
    </row>
    <row r="30" spans="2:11" x14ac:dyDescent="0.3">
      <c r="B30" s="14" t="s">
        <v>66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J30" s="14">
        <f>SUM(C30:H30)</f>
        <v>0</v>
      </c>
      <c r="K30" s="23">
        <f>J30/$J$32</f>
        <v>0</v>
      </c>
    </row>
    <row r="31" spans="2:11" x14ac:dyDescent="0.3">
      <c r="B31" s="8" t="s">
        <v>17</v>
      </c>
      <c r="C31" s="8">
        <f>SUM(C16:C29)</f>
        <v>1000000</v>
      </c>
      <c r="D31" s="8">
        <f>SUM(D16:D29)</f>
        <v>250000</v>
      </c>
      <c r="E31" s="8">
        <f>SUM(E16:E29)</f>
        <v>416666.66666659899</v>
      </c>
      <c r="F31" s="8">
        <f>SUM(F16:F29)</f>
        <v>1450000</v>
      </c>
      <c r="H31" s="8">
        <f>SUM(H16:H30)</f>
        <v>883333.33333333395</v>
      </c>
      <c r="K31" s="11"/>
    </row>
    <row r="32" spans="2:11" x14ac:dyDescent="0.3">
      <c r="B32" s="8" t="s">
        <v>37</v>
      </c>
      <c r="C32" s="8">
        <f>C31</f>
        <v>1000000</v>
      </c>
      <c r="D32" s="8">
        <f>C32+D31</f>
        <v>1250000</v>
      </c>
      <c r="E32" s="8">
        <f t="shared" ref="E32:F32" si="4">D32+E31</f>
        <v>1666666.666666599</v>
      </c>
      <c r="F32" s="8">
        <f t="shared" si="4"/>
        <v>3116666.666666599</v>
      </c>
      <c r="H32" s="8">
        <f>F32+H31</f>
        <v>3999999.9999999329</v>
      </c>
      <c r="J32" s="8">
        <f>H32+J31</f>
        <v>3999999.9999999329</v>
      </c>
      <c r="K32" s="17">
        <f>SUM(K16:K30)</f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C10" zoomScaleNormal="100" workbookViewId="0">
      <selection activeCell="H30" sqref="H30"/>
    </sheetView>
  </sheetViews>
  <sheetFormatPr defaultColWidth="8.6640625" defaultRowHeight="14.4" x14ac:dyDescent="0.3"/>
  <cols>
    <col min="1" max="1" width="65.44140625" style="1" customWidth="1"/>
    <col min="2" max="2" width="57.5546875" style="1" bestFit="1" customWidth="1"/>
    <col min="3" max="3" width="9" style="1" bestFit="1" customWidth="1"/>
    <col min="4" max="4" width="9.44140625" style="1" bestFit="1" customWidth="1"/>
    <col min="5" max="5" width="11.109375" style="1" bestFit="1" customWidth="1"/>
    <col min="6" max="6" width="12.21875" style="1" bestFit="1" customWidth="1"/>
    <col min="7" max="7" width="11.6640625" style="1" customWidth="1"/>
    <col min="8" max="8" width="12.21875" style="1" bestFit="1" customWidth="1"/>
    <col min="9" max="9" width="5.88671875" style="1" customWidth="1"/>
    <col min="10" max="10" width="15.77734375" style="1" bestFit="1" customWidth="1"/>
    <col min="11" max="11" width="10.77734375" style="1" bestFit="1" customWidth="1"/>
    <col min="12" max="12" width="14.88671875" style="1" bestFit="1" customWidth="1"/>
    <col min="13" max="13" width="5.6640625" style="1" customWidth="1"/>
    <col min="14" max="14" width="12" style="1" customWidth="1"/>
    <col min="15" max="15" width="13" style="1" customWidth="1"/>
    <col min="16" max="16" width="12.21875" style="1" customWidth="1"/>
    <col min="17" max="17" width="8.6640625" style="1"/>
    <col min="18" max="18" width="15.109375" style="1" bestFit="1" customWidth="1"/>
    <col min="19" max="19" width="15.5546875" style="1" customWidth="1"/>
    <col min="20" max="16384" width="8.6640625" style="1"/>
  </cols>
  <sheetData>
    <row r="1" spans="1:19" s="12" customFormat="1" ht="18" x14ac:dyDescent="0.35">
      <c r="A1" s="3" t="s">
        <v>24</v>
      </c>
      <c r="J1" s="13"/>
      <c r="K1" s="13"/>
      <c r="L1" s="13"/>
      <c r="M1" s="13"/>
      <c r="N1" s="13"/>
      <c r="O1" s="13"/>
      <c r="P1" s="13"/>
      <c r="Q1" s="13"/>
    </row>
    <row r="2" spans="1:19" s="12" customFormat="1" ht="18" x14ac:dyDescent="0.35">
      <c r="A2" s="3" t="s">
        <v>26</v>
      </c>
      <c r="J2" s="13"/>
      <c r="K2" s="13"/>
      <c r="L2" s="13"/>
      <c r="M2" s="13"/>
      <c r="N2" s="13"/>
      <c r="O2" s="13"/>
      <c r="P2" s="13"/>
      <c r="Q2" s="13"/>
    </row>
    <row r="3" spans="1:19" s="5" customFormat="1" ht="18" x14ac:dyDescent="0.35">
      <c r="A3" s="4" t="s">
        <v>25</v>
      </c>
      <c r="C3" s="12"/>
      <c r="J3" s="6"/>
      <c r="K3" s="6"/>
      <c r="L3" s="6"/>
      <c r="M3" s="6"/>
      <c r="N3" s="6"/>
      <c r="O3" s="6"/>
      <c r="P3" s="6"/>
      <c r="Q3" s="6"/>
    </row>
    <row r="4" spans="1:19" s="8" customFormat="1" ht="15.6" x14ac:dyDescent="0.3"/>
    <row r="5" spans="1:19" s="8" customFormat="1" ht="15.6" x14ac:dyDescent="0.3">
      <c r="B5" s="14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44</v>
      </c>
      <c r="H5" s="15" t="s">
        <v>5</v>
      </c>
      <c r="J5" s="15" t="s">
        <v>6</v>
      </c>
      <c r="K5" s="25"/>
    </row>
    <row r="6" spans="1:19" s="7" customFormat="1" ht="15.6" x14ac:dyDescent="0.3">
      <c r="B6" s="8" t="s">
        <v>27</v>
      </c>
      <c r="C6" s="19" t="s">
        <v>43</v>
      </c>
      <c r="D6" s="19" t="s">
        <v>28</v>
      </c>
      <c r="E6" s="19" t="s">
        <v>29</v>
      </c>
      <c r="F6" s="27" t="s">
        <v>30</v>
      </c>
      <c r="G6" s="27" t="s">
        <v>31</v>
      </c>
      <c r="H6" s="27" t="s">
        <v>32</v>
      </c>
      <c r="J6" s="27" t="s">
        <v>33</v>
      </c>
      <c r="K6" s="19"/>
    </row>
    <row r="7" spans="1:19" s="7" customFormat="1" ht="46.8" x14ac:dyDescent="0.3">
      <c r="B7" s="8"/>
      <c r="C7" s="39" t="s">
        <v>35</v>
      </c>
      <c r="D7" s="40"/>
      <c r="E7" s="40"/>
      <c r="F7" s="40"/>
      <c r="G7" s="40"/>
      <c r="H7" s="40"/>
      <c r="J7" s="19" t="s">
        <v>18</v>
      </c>
      <c r="K7" s="26" t="s">
        <v>41</v>
      </c>
      <c r="L7" s="28" t="s">
        <v>40</v>
      </c>
      <c r="M7" s="28"/>
      <c r="N7" s="28" t="s">
        <v>36</v>
      </c>
      <c r="O7" s="28" t="s">
        <v>19</v>
      </c>
      <c r="P7" s="28" t="s">
        <v>47</v>
      </c>
      <c r="R7" s="28" t="s">
        <v>46</v>
      </c>
      <c r="S7" s="28" t="s">
        <v>48</v>
      </c>
    </row>
    <row r="8" spans="1:19" s="9" customFormat="1" ht="15.6" x14ac:dyDescent="0.3"/>
    <row r="9" spans="1:19" s="8" customFormat="1" ht="15.6" x14ac:dyDescent="0.3">
      <c r="B9" s="42" t="s">
        <v>53</v>
      </c>
      <c r="C9" s="30"/>
      <c r="D9" s="30"/>
      <c r="E9" s="30"/>
      <c r="F9" s="30"/>
      <c r="G9" s="30"/>
      <c r="H9" s="30"/>
      <c r="J9" s="31">
        <f>$J$26*K9</f>
        <v>6002211.9993906915</v>
      </c>
      <c r="K9" s="11">
        <f>Capitalization!K16</f>
        <v>5.2650982450795546E-2</v>
      </c>
      <c r="L9" s="8">
        <f>SUM(C9:H9)</f>
        <v>0</v>
      </c>
      <c r="P9" s="8">
        <f>R9-S9</f>
        <v>2010128.6542026654</v>
      </c>
      <c r="R9" s="8">
        <f>J9/$J$30</f>
        <v>2010128.6542026654</v>
      </c>
      <c r="S9" s="8">
        <v>0</v>
      </c>
    </row>
    <row r="10" spans="1:19" s="8" customFormat="1" ht="15.6" x14ac:dyDescent="0.3">
      <c r="B10" s="42" t="s">
        <v>54</v>
      </c>
      <c r="C10" s="30"/>
      <c r="D10" s="30"/>
      <c r="E10" s="30"/>
      <c r="F10" s="30"/>
      <c r="G10" s="30"/>
      <c r="H10" s="30"/>
      <c r="J10" s="31">
        <f>$J$26*K10</f>
        <v>5655585.0036919927</v>
      </c>
      <c r="K10" s="11">
        <f>Capitalization!K17</f>
        <v>4.9610394769228017E-2</v>
      </c>
      <c r="L10" s="8">
        <f t="shared" ref="L10:L14" si="0">SUM(C10:H10)</f>
        <v>0</v>
      </c>
      <c r="P10" s="8">
        <f t="shared" ref="P10:P24" si="1">R10-S10</f>
        <v>1894043.9746803711</v>
      </c>
      <c r="R10" s="8">
        <f>J10/$J$30</f>
        <v>1894043.9746803711</v>
      </c>
      <c r="S10" s="8">
        <v>0</v>
      </c>
    </row>
    <row r="11" spans="1:19" s="8" customFormat="1" ht="15.6" x14ac:dyDescent="0.3">
      <c r="B11" s="42" t="s">
        <v>55</v>
      </c>
      <c r="C11" s="30"/>
      <c r="D11" s="30"/>
      <c r="E11" s="30"/>
      <c r="F11" s="30"/>
      <c r="G11" s="30"/>
      <c r="H11" s="30"/>
      <c r="J11" s="31">
        <f>$J$26*K11</f>
        <v>4111533.4479590547</v>
      </c>
      <c r="K11" s="11">
        <f>Capitalization!K18</f>
        <v>3.606608287683382E-2</v>
      </c>
      <c r="L11" s="8">
        <f t="shared" si="0"/>
        <v>0</v>
      </c>
      <c r="P11" s="8">
        <f t="shared" si="1"/>
        <v>1376944.2327752109</v>
      </c>
      <c r="R11" s="8">
        <f>J11/$J$30</f>
        <v>1376944.2327752109</v>
      </c>
      <c r="S11" s="8">
        <v>0</v>
      </c>
    </row>
    <row r="12" spans="1:19" s="8" customFormat="1" ht="15.6" x14ac:dyDescent="0.3">
      <c r="B12" s="42" t="s">
        <v>56</v>
      </c>
      <c r="C12" s="30"/>
      <c r="D12" s="30"/>
      <c r="E12" s="30"/>
      <c r="F12" s="30"/>
      <c r="G12" s="30"/>
      <c r="H12" s="30"/>
      <c r="J12" s="31">
        <f>$J$26*K12</f>
        <v>7030669.5489586387</v>
      </c>
      <c r="K12" s="11">
        <f>Capitalization!K19</f>
        <v>6.1672539903145959E-2</v>
      </c>
      <c r="L12" s="8">
        <f t="shared" si="0"/>
        <v>0</v>
      </c>
      <c r="P12" s="8">
        <f t="shared" si="1"/>
        <v>2354557.0066546369</v>
      </c>
      <c r="R12" s="8">
        <f>J12/$J$30</f>
        <v>2354557.0066546369</v>
      </c>
      <c r="S12" s="8">
        <v>0</v>
      </c>
    </row>
    <row r="13" spans="1:19" s="8" customFormat="1" ht="15.6" x14ac:dyDescent="0.3">
      <c r="B13" s="42" t="s">
        <v>57</v>
      </c>
      <c r="C13" s="30"/>
      <c r="D13" s="30"/>
      <c r="E13" s="30"/>
      <c r="F13" s="30"/>
      <c r="G13" s="30"/>
      <c r="H13" s="30"/>
      <c r="J13" s="31">
        <f>$J$26*K13</f>
        <v>1425000.0000000235</v>
      </c>
      <c r="K13" s="11">
        <f>Capitalization!K20</f>
        <v>1.2500000000000209E-2</v>
      </c>
      <c r="L13" s="8">
        <f t="shared" si="0"/>
        <v>0</v>
      </c>
      <c r="P13" s="8">
        <f t="shared" si="1"/>
        <v>477229.61676955526</v>
      </c>
      <c r="R13" s="8">
        <f>J13/$J$30</f>
        <v>477229.61676955526</v>
      </c>
      <c r="S13" s="8">
        <v>0</v>
      </c>
    </row>
    <row r="14" spans="1:19" s="8" customFormat="1" ht="15.6" x14ac:dyDescent="0.3">
      <c r="B14" s="42" t="s">
        <v>16</v>
      </c>
      <c r="C14" s="30"/>
      <c r="D14" s="30"/>
      <c r="E14" s="30"/>
      <c r="F14" s="30"/>
      <c r="G14" s="30"/>
      <c r="H14" s="30"/>
      <c r="J14" s="31">
        <f>$J$26*K14</f>
        <v>8550000.0000001434</v>
      </c>
      <c r="K14" s="11">
        <f>Capitalization!K21</f>
        <v>7.500000000000126E-2</v>
      </c>
      <c r="L14" s="8">
        <f t="shared" si="0"/>
        <v>0</v>
      </c>
      <c r="P14" s="8">
        <f t="shared" si="1"/>
        <v>2863377.700617332</v>
      </c>
      <c r="R14" s="8">
        <f>J14/$J$30</f>
        <v>2863377.700617332</v>
      </c>
      <c r="S14" s="8">
        <v>0</v>
      </c>
    </row>
    <row r="15" spans="1:19" s="8" customFormat="1" ht="15.6" x14ac:dyDescent="0.3">
      <c r="B15" s="42" t="s">
        <v>58</v>
      </c>
      <c r="C15" s="30">
        <v>-80000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J15" s="31">
        <f>$J$26*K15</f>
        <v>1425000.0000000235</v>
      </c>
      <c r="K15" s="11">
        <f>Capitalization!K22</f>
        <v>1.2500000000000209E-2</v>
      </c>
      <c r="L15" s="8">
        <f>SUM(C15:H15)</f>
        <v>-80000</v>
      </c>
      <c r="N15" s="37">
        <f>J15/-L15</f>
        <v>17.812500000000295</v>
      </c>
      <c r="O15" s="11">
        <f>IRR(C15:J15)</f>
        <v>0.61604759121005093</v>
      </c>
      <c r="P15" s="8">
        <f t="shared" si="1"/>
        <v>397229.61676955526</v>
      </c>
      <c r="Q15" s="10"/>
      <c r="R15" s="8">
        <f>J15/$J$30</f>
        <v>477229.61676955526</v>
      </c>
      <c r="S15" s="8">
        <f>-C15</f>
        <v>80000</v>
      </c>
    </row>
    <row r="16" spans="1:19" s="8" customFormat="1" ht="15.6" x14ac:dyDescent="0.3">
      <c r="B16" s="42" t="s">
        <v>59</v>
      </c>
      <c r="C16" s="30"/>
      <c r="D16" s="30">
        <v>-250000</v>
      </c>
      <c r="E16" s="30">
        <v>-199999.99999968</v>
      </c>
      <c r="F16" s="30">
        <v>-100000</v>
      </c>
      <c r="G16" s="30">
        <v>0</v>
      </c>
      <c r="H16" s="30">
        <v>0</v>
      </c>
      <c r="J16" s="31">
        <f>$J$26*K16</f>
        <v>5106249.9999981858</v>
      </c>
      <c r="K16" s="11">
        <f>Capitalization!K23</f>
        <v>4.4791666666650756E-2</v>
      </c>
      <c r="L16" s="8">
        <f t="shared" ref="L16:L21" si="2">SUM(C16:H16)</f>
        <v>-549999.99999967997</v>
      </c>
      <c r="N16" s="37">
        <f t="shared" ref="N16:N21" si="3">J16/-L16</f>
        <v>9.2840909090930133</v>
      </c>
      <c r="O16" s="11">
        <f t="shared" ref="O16:O21" si="4">IRR(C16:J16)</f>
        <v>0.65848952208351141</v>
      </c>
      <c r="P16" s="8">
        <f t="shared" si="1"/>
        <v>1537624.54219126</v>
      </c>
      <c r="Q16" s="10"/>
      <c r="R16" s="8">
        <f>J16/H30</f>
        <v>2052087.3521083244</v>
      </c>
      <c r="S16" s="8">
        <f>-(D16+E16/D31+F16/E31)</f>
        <v>514462.80991706444</v>
      </c>
    </row>
    <row r="17" spans="2:19" s="8" customFormat="1" ht="15.6" x14ac:dyDescent="0.3">
      <c r="B17" s="42" t="s">
        <v>60</v>
      </c>
      <c r="C17" s="30"/>
      <c r="D17" s="30">
        <v>-250000</v>
      </c>
      <c r="E17" s="30">
        <v>0</v>
      </c>
      <c r="F17" s="30">
        <v>0</v>
      </c>
      <c r="G17" s="30">
        <v>0</v>
      </c>
      <c r="H17" s="30">
        <v>0</v>
      </c>
      <c r="J17" s="31">
        <f>$J$26*K17</f>
        <v>3562500.0000000587</v>
      </c>
      <c r="K17" s="11">
        <f>Capitalization!K24</f>
        <v>3.125000000000052E-2</v>
      </c>
      <c r="L17" s="8">
        <f t="shared" si="2"/>
        <v>-250000</v>
      </c>
      <c r="N17" s="37">
        <f t="shared" si="3"/>
        <v>14.250000000000234</v>
      </c>
      <c r="O17" s="11">
        <f t="shared" si="4"/>
        <v>0.70122976606425103</v>
      </c>
      <c r="P17" s="8">
        <f t="shared" si="1"/>
        <v>1181688.8503086655</v>
      </c>
      <c r="Q17" s="10"/>
      <c r="R17" s="8">
        <f>J17/H30</f>
        <v>1431688.8503086655</v>
      </c>
      <c r="S17" s="8">
        <f>-D17</f>
        <v>250000</v>
      </c>
    </row>
    <row r="18" spans="2:19" s="8" customFormat="1" ht="15.6" x14ac:dyDescent="0.3">
      <c r="B18" s="8" t="s">
        <v>61</v>
      </c>
      <c r="C18" s="30"/>
      <c r="D18" s="30">
        <v>0</v>
      </c>
      <c r="E18" s="30">
        <v>-999999.99999999802</v>
      </c>
      <c r="F18" s="30">
        <v>-1250000</v>
      </c>
      <c r="G18" s="30">
        <v>0</v>
      </c>
      <c r="H18" s="30">
        <v>-2066620.2139037501</v>
      </c>
      <c r="J18" s="31">
        <f>$J$26*K18</f>
        <v>13335558.80481305</v>
      </c>
      <c r="K18" s="11">
        <f>Capitalization!K25</f>
        <v>0.11697858600713203</v>
      </c>
      <c r="L18" s="8">
        <f t="shared" si="2"/>
        <v>-4316620.2139037484</v>
      </c>
      <c r="N18" s="37">
        <f t="shared" si="3"/>
        <v>3.0893518873537862</v>
      </c>
      <c r="O18" s="11">
        <f t="shared" si="4"/>
        <v>0.53855707072812864</v>
      </c>
      <c r="P18" s="8">
        <f t="shared" si="1"/>
        <v>2742068.4018413015</v>
      </c>
      <c r="Q18" s="10"/>
      <c r="R18" s="8">
        <f>J18/G30</f>
        <v>6431114.3927532071</v>
      </c>
      <c r="S18" s="8">
        <f>-(E18+F18/D31+H18/F31)</f>
        <v>3689045.9909119057</v>
      </c>
    </row>
    <row r="19" spans="2:19" s="8" customFormat="1" ht="15.6" x14ac:dyDescent="0.3">
      <c r="B19" s="8" t="s">
        <v>62</v>
      </c>
      <c r="C19" s="30"/>
      <c r="D19" s="30">
        <v>0</v>
      </c>
      <c r="E19" s="30">
        <v>-799999.99999999697</v>
      </c>
      <c r="F19" s="30">
        <v>-2500000</v>
      </c>
      <c r="G19" s="30">
        <v>0</v>
      </c>
      <c r="H19" s="30">
        <v>-2716133.7967914501</v>
      </c>
      <c r="J19" s="31">
        <f>$J$26*K19</f>
        <v>17526740.660428084</v>
      </c>
      <c r="K19" s="11">
        <f>Capitalization!K26</f>
        <v>0.15374333912656216</v>
      </c>
      <c r="L19" s="8">
        <f t="shared" si="2"/>
        <v>-6016133.7967914473</v>
      </c>
      <c r="N19" s="37">
        <f t="shared" si="3"/>
        <v>2.913289706052669</v>
      </c>
      <c r="O19" s="11">
        <f t="shared" si="4"/>
        <v>0.53104740506488279</v>
      </c>
      <c r="P19" s="8">
        <f t="shared" si="1"/>
        <v>3338925.9828843428</v>
      </c>
      <c r="Q19" s="10"/>
      <c r="R19" s="8">
        <f>J19/G30</f>
        <v>8452324.7783700265</v>
      </c>
      <c r="S19" s="8">
        <f>-(E19+F19/D31+H19/F31)</f>
        <v>5113398.7954856837</v>
      </c>
    </row>
    <row r="20" spans="2:19" s="8" customFormat="1" ht="15.6" x14ac:dyDescent="0.3">
      <c r="B20" s="8" t="s">
        <v>63</v>
      </c>
      <c r="C20" s="30"/>
      <c r="D20" s="30">
        <v>0</v>
      </c>
      <c r="E20" s="30">
        <v>0</v>
      </c>
      <c r="F20" s="30">
        <v>-4000000</v>
      </c>
      <c r="G20" s="30">
        <v>0</v>
      </c>
      <c r="H20" s="30">
        <v>-6000000</v>
      </c>
      <c r="J20" s="31">
        <f>$J$26*K20</f>
        <v>22800000.000000376</v>
      </c>
      <c r="K20" s="11">
        <f>Capitalization!K27</f>
        <v>0.20000000000000334</v>
      </c>
      <c r="L20" s="8">
        <f t="shared" si="2"/>
        <v>-10000000</v>
      </c>
      <c r="N20" s="37">
        <f t="shared" si="3"/>
        <v>2.2800000000000376</v>
      </c>
      <c r="O20" s="11">
        <f t="shared" si="4"/>
        <v>0.50904618294587234</v>
      </c>
      <c r="P20" s="8">
        <f t="shared" si="1"/>
        <v>4235766.7584942486</v>
      </c>
      <c r="Q20" s="10"/>
      <c r="R20" s="8">
        <f>J20/F30</f>
        <v>13194444.444444662</v>
      </c>
      <c r="S20" s="8">
        <f>-(F20+H20/E31)</f>
        <v>8958677.6859504133</v>
      </c>
    </row>
    <row r="21" spans="2:19" s="8" customFormat="1" ht="15.6" x14ac:dyDescent="0.3">
      <c r="B21" s="8" t="s">
        <v>64</v>
      </c>
      <c r="C21" s="30"/>
      <c r="D21" s="30">
        <v>0</v>
      </c>
      <c r="E21" s="30">
        <v>0</v>
      </c>
      <c r="F21" s="30">
        <v>-2150000</v>
      </c>
      <c r="G21" s="30">
        <v>0</v>
      </c>
      <c r="H21" s="30">
        <v>-1523395.7219251399</v>
      </c>
      <c r="J21" s="31">
        <f>$J$26*K21</f>
        <v>9830213.9037434813</v>
      </c>
      <c r="K21" s="11">
        <f>Capitalization!K28</f>
        <v>8.622994652406564E-2</v>
      </c>
      <c r="L21" s="8">
        <f t="shared" si="2"/>
        <v>-3673395.7219251399</v>
      </c>
      <c r="N21" s="37">
        <f t="shared" si="3"/>
        <v>2.6760563380282094</v>
      </c>
      <c r="O21" s="11">
        <f t="shared" si="4"/>
        <v>0.51782159760684299</v>
      </c>
      <c r="P21" s="8">
        <f t="shared" si="1"/>
        <v>2279776.4654322444</v>
      </c>
      <c r="Q21" s="10"/>
      <c r="R21" s="8">
        <f>J21/F30</f>
        <v>5688781.1942959959</v>
      </c>
      <c r="S21" s="8">
        <f>-(F21+H21/E31)</f>
        <v>3409004.7288637515</v>
      </c>
    </row>
    <row r="22" spans="2:19" s="8" customFormat="1" ht="15.6" x14ac:dyDescent="0.3">
      <c r="B22" s="24" t="s">
        <v>65</v>
      </c>
      <c r="C22" s="45"/>
      <c r="D22" s="45">
        <v>0</v>
      </c>
      <c r="E22" s="45">
        <v>0</v>
      </c>
      <c r="F22" s="45">
        <v>0</v>
      </c>
      <c r="G22" s="45">
        <v>0</v>
      </c>
      <c r="H22" s="45">
        <v>-5360516.9340463504</v>
      </c>
      <c r="I22" s="24"/>
      <c r="J22" s="46">
        <f>$J$26*K22</f>
        <v>7638736.6310161809</v>
      </c>
      <c r="K22" s="11">
        <f>Capitalization!K29</f>
        <v>6.7006461675580539E-2</v>
      </c>
      <c r="L22" s="24">
        <f>SUM(C22:H22)</f>
        <v>-5360516.9340463504</v>
      </c>
      <c r="M22" s="24"/>
      <c r="N22" s="37">
        <f>J22/-L22</f>
        <v>1.4250000000000245</v>
      </c>
      <c r="O22" s="44">
        <f>IRR(C22:J22)</f>
        <v>0.42500000000002447</v>
      </c>
      <c r="P22" s="24">
        <f>R22-S22</f>
        <v>1005096.9251338001</v>
      </c>
      <c r="Q22" s="10"/>
      <c r="R22" s="8">
        <f>J22/D30</f>
        <v>6365613.8591801506</v>
      </c>
      <c r="S22" s="8">
        <f>-H22</f>
        <v>5360516.9340463504</v>
      </c>
    </row>
    <row r="23" spans="2:19" s="8" customFormat="1" ht="15.6" x14ac:dyDescent="0.3">
      <c r="B23" s="14"/>
      <c r="C23" s="32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J23" s="33">
        <f>$J$26*K23</f>
        <v>0</v>
      </c>
      <c r="K23" s="23">
        <f>Capitalization!K30</f>
        <v>0</v>
      </c>
      <c r="L23" s="14">
        <f>SUM(C23:H23)</f>
        <v>0</v>
      </c>
      <c r="N23" s="29"/>
      <c r="O23" s="23"/>
      <c r="P23" s="14"/>
      <c r="Q23" s="10"/>
      <c r="R23" s="14"/>
      <c r="S23" s="14"/>
    </row>
    <row r="24" spans="2:19" s="8" customFormat="1" ht="15.6" x14ac:dyDescent="0.3">
      <c r="B24" s="8" t="s">
        <v>38</v>
      </c>
      <c r="C24" s="31">
        <f>SUM(C9:C23)</f>
        <v>-80000</v>
      </c>
      <c r="D24" s="31">
        <f>SUM(D9:D23)</f>
        <v>-500000</v>
      </c>
      <c r="E24" s="31">
        <f>SUM(E9:E23)</f>
        <v>-1999999.999999675</v>
      </c>
      <c r="F24" s="31">
        <f>SUM(F9:F23)</f>
        <v>-10000000</v>
      </c>
      <c r="G24" s="31">
        <v>0</v>
      </c>
      <c r="H24" s="31">
        <f>SUM(H9:H23)</f>
        <v>-17666666.66666669</v>
      </c>
      <c r="J24" s="31"/>
      <c r="L24" s="8">
        <f>SUM(L15:L23)</f>
        <v>-30246666.666666366</v>
      </c>
      <c r="N24" s="10">
        <f>J27/-L24</f>
        <v>2.6854198809786283</v>
      </c>
      <c r="O24" s="11">
        <f>IRR(C27:J27)</f>
        <v>0.54620103349492877</v>
      </c>
      <c r="P24" s="8">
        <f t="shared" si="1"/>
        <v>6531892.0896078274</v>
      </c>
      <c r="Q24" s="10"/>
      <c r="R24" s="8">
        <f>J27/J30</f>
        <v>27202088.155864011</v>
      </c>
      <c r="S24" s="8">
        <f>-(C24+D24/D31+E24/E31+F24/F31+H24/H31)</f>
        <v>20670196.066256184</v>
      </c>
    </row>
    <row r="25" spans="2:19" s="8" customFormat="1" ht="15.6" x14ac:dyDescent="0.3">
      <c r="B25" s="8" t="s">
        <v>39</v>
      </c>
      <c r="C25" s="31">
        <f>C24</f>
        <v>-80000</v>
      </c>
      <c r="D25" s="31">
        <f>C25+D24</f>
        <v>-580000</v>
      </c>
      <c r="E25" s="31">
        <f t="shared" ref="E25:F25" si="5">D25+E24</f>
        <v>-2579999.999999675</v>
      </c>
      <c r="F25" s="31">
        <f t="shared" si="5"/>
        <v>-12579999.999999676</v>
      </c>
      <c r="G25" s="31"/>
      <c r="H25" s="31">
        <f>F25+H24</f>
        <v>-30246666.666666366</v>
      </c>
      <c r="J25" s="31"/>
    </row>
    <row r="26" spans="2:19" s="8" customFormat="1" ht="15.6" x14ac:dyDescent="0.3">
      <c r="B26" s="8" t="s">
        <v>42</v>
      </c>
      <c r="C26" s="31"/>
      <c r="D26" s="31"/>
      <c r="E26" s="31"/>
      <c r="F26" s="31"/>
      <c r="G26" s="31"/>
      <c r="H26" s="31"/>
      <c r="J26" s="30">
        <v>113999999.99999999</v>
      </c>
    </row>
    <row r="27" spans="2:19" s="8" customFormat="1" ht="15.6" x14ac:dyDescent="0.3">
      <c r="B27" s="8" t="s">
        <v>45</v>
      </c>
      <c r="C27" s="31">
        <f>C24</f>
        <v>-80000</v>
      </c>
      <c r="D27" s="31">
        <f t="shared" ref="D27:H27" si="6">D24</f>
        <v>-500000</v>
      </c>
      <c r="E27" s="31">
        <f t="shared" si="6"/>
        <v>-1999999.999999675</v>
      </c>
      <c r="F27" s="31">
        <f t="shared" si="6"/>
        <v>-10000000</v>
      </c>
      <c r="G27" s="31">
        <f t="shared" si="6"/>
        <v>0</v>
      </c>
      <c r="H27" s="31">
        <f t="shared" si="6"/>
        <v>-17666666.66666669</v>
      </c>
      <c r="J27" s="8">
        <f>SUM(J15:J23)</f>
        <v>81224999.999999434</v>
      </c>
    </row>
    <row r="28" spans="2:19" s="8" customFormat="1" ht="15.6" x14ac:dyDescent="0.3">
      <c r="B28" s="8" t="s">
        <v>50</v>
      </c>
      <c r="J28" s="34">
        <v>0.2</v>
      </c>
    </row>
    <row r="29" spans="2:19" s="8" customFormat="1" ht="15.6" x14ac:dyDescent="0.3">
      <c r="B29" s="8" t="s">
        <v>51</v>
      </c>
      <c r="J29" s="34">
        <v>0.1</v>
      </c>
    </row>
    <row r="30" spans="2:19" s="8" customFormat="1" ht="15.6" x14ac:dyDescent="0.3">
      <c r="B30" s="8" t="s">
        <v>49</v>
      </c>
      <c r="C30" s="38">
        <v>1</v>
      </c>
      <c r="D30" s="38">
        <f>(1+J28)^1</f>
        <v>1.2</v>
      </c>
      <c r="E30" s="38">
        <f>(1+J28)^2</f>
        <v>1.44</v>
      </c>
      <c r="F30" s="38">
        <f>(1+J28)^3</f>
        <v>1.728</v>
      </c>
      <c r="G30" s="38">
        <f>(1+J28)^4</f>
        <v>2.0735999999999999</v>
      </c>
      <c r="H30" s="38">
        <f>(1+J28)^5</f>
        <v>2.4883199999999999</v>
      </c>
      <c r="J30" s="38">
        <f>(1+J28)^6</f>
        <v>2.9859839999999997</v>
      </c>
    </row>
    <row r="31" spans="2:19" ht="15.6" x14ac:dyDescent="0.3">
      <c r="B31" s="8" t="s">
        <v>52</v>
      </c>
      <c r="C31" s="38">
        <v>1</v>
      </c>
      <c r="D31" s="38">
        <f>(1+J29)^1</f>
        <v>1.1000000000000001</v>
      </c>
      <c r="E31" s="38">
        <f>(1+J29)^2</f>
        <v>1.2100000000000002</v>
      </c>
      <c r="F31" s="38">
        <f>(1+J29)^3</f>
        <v>1.3310000000000004</v>
      </c>
      <c r="G31" s="38">
        <f>(1+J29)^4</f>
        <v>1.4641000000000004</v>
      </c>
      <c r="H31" s="38">
        <f>(1+J29)^5</f>
        <v>1.6105100000000006</v>
      </c>
    </row>
  </sheetData>
  <mergeCells count="1">
    <mergeCell ref="C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Capitalization</vt:lpstr>
      <vt:lpstr>Returns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2020-07-08T21:49:19Z</dcterms:created>
  <dcterms:modified xsi:type="dcterms:W3CDTF">2021-05-15T17:01:04Z</dcterms:modified>
</cp:coreProperties>
</file>